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180\AbaNiroo\بازرسی\1404\انرژی های تجدید پذیر (ساتبا)\مدارک پیمانکاران\"/>
    </mc:Choice>
  </mc:AlternateContent>
  <xr:revisionPtr revIDLastSave="0" documentId="13_ncr:1_{79AF1898-39B9-4014-B348-6F08601127CB}" xr6:coauthVersionLast="47" xr6:coauthVersionMax="47" xr10:uidLastSave="{00000000-0000-0000-0000-000000000000}"/>
  <bookViews>
    <workbookView xWindow="-120" yWindow="-120" windowWidth="29040" windowHeight="15840" firstSheet="2" activeTab="8" xr2:uid="{00000000-000D-0000-FFFF-FFFF00000000}"/>
  </bookViews>
  <sheets>
    <sheet name="اطلاعات پایه" sheetId="9" state="veryHidden" r:id="rId1"/>
    <sheet name="پایه" sheetId="10" state="hidden" r:id="rId2"/>
    <sheet name="امتیاز کل" sheetId="8" r:id="rId3"/>
    <sheet name=" اطلاعات عمومي و ثبتي شركت " sheetId="12" r:id="rId4"/>
    <sheet name="مالی" sheetId="1" r:id="rId5"/>
    <sheet name=" تجربه و دانش در زمینه مورد نظر" sheetId="5" r:id="rId6"/>
    <sheet name="حسن سابقه و رضایت" sheetId="13" r:id="rId7"/>
    <sheet name="کیفیت کارکنان کلیدی" sheetId="6" r:id="rId8"/>
    <sheet name="ماشین‌آلات و تجهیزات پشتیبانی" sheetId="7" r:id="rId9"/>
  </sheets>
  <definedNames>
    <definedName name="_Hlk52032933" localSheetId="2">'امتیاز کل'!$E$4</definedName>
    <definedName name="_Hlk52032933" localSheetId="1">پایه!$E$6</definedName>
    <definedName name="_Toc42787377" localSheetId="8">'ماشین‌آلات و تجهیزات پشتیبانی'!$D$1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7" l="1"/>
  <c r="F4" i="7"/>
  <c r="F46" i="7" l="1"/>
  <c r="I12" i="7"/>
  <c r="F12" i="7" s="1"/>
  <c r="I47" i="7"/>
  <c r="F47" i="7" s="1"/>
  <c r="I57" i="7"/>
  <c r="F57" i="7" s="1"/>
  <c r="M40" i="10"/>
  <c r="F56" i="7"/>
  <c r="F55" i="7"/>
  <c r="F54" i="7"/>
  <c r="F53" i="7"/>
  <c r="F52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6" i="7"/>
  <c r="F5" i="7"/>
  <c r="F6" i="7"/>
  <c r="F7" i="7"/>
  <c r="F8" i="7"/>
  <c r="F9" i="7"/>
  <c r="F10" i="7"/>
  <c r="F11" i="7"/>
  <c r="M45" i="10" l="1"/>
  <c r="M46" i="10" s="1"/>
  <c r="M42" i="10"/>
  <c r="M43" i="10" s="1"/>
  <c r="I7" i="6"/>
  <c r="I6" i="6"/>
  <c r="H7" i="6"/>
  <c r="H6" i="6"/>
  <c r="H5" i="6"/>
  <c r="H4" i="6"/>
  <c r="I5" i="6"/>
  <c r="G26" i="13"/>
  <c r="F26" i="13"/>
  <c r="E26" i="13"/>
  <c r="D26" i="13"/>
  <c r="C26" i="13"/>
  <c r="F64" i="7" l="1"/>
  <c r="I4" i="6"/>
  <c r="G27" i="13"/>
  <c r="G28" i="13" s="1"/>
  <c r="I13" i="6" l="1"/>
  <c r="K6" i="6" s="1"/>
  <c r="D10" i="8" l="1"/>
  <c r="F9" i="8"/>
  <c r="F6" i="8"/>
  <c r="L52" i="5" l="1"/>
  <c r="L51" i="5"/>
  <c r="L50" i="5"/>
  <c r="L44" i="5"/>
  <c r="L43" i="5"/>
  <c r="L42" i="5"/>
  <c r="L37" i="5"/>
  <c r="L36" i="5"/>
  <c r="L35" i="5"/>
  <c r="L34" i="5"/>
  <c r="L33" i="5"/>
  <c r="L31" i="5"/>
  <c r="L30" i="5"/>
  <c r="L29" i="5"/>
  <c r="L28" i="5"/>
  <c r="L32" i="5"/>
  <c r="E20" i="10" l="1"/>
  <c r="D22" i="1" s="1"/>
  <c r="E22" i="1" s="1"/>
  <c r="E19" i="10"/>
  <c r="D21" i="1" s="1"/>
  <c r="E21" i="1" s="1"/>
  <c r="E18" i="10"/>
  <c r="D20" i="1" s="1"/>
  <c r="E20" i="1" s="1"/>
  <c r="E17" i="10"/>
  <c r="D19" i="1" s="1"/>
  <c r="E19" i="1" s="1"/>
  <c r="E16" i="10"/>
  <c r="D18" i="1" s="1"/>
  <c r="E18" i="1" s="1"/>
  <c r="E15" i="10"/>
  <c r="D17" i="1" s="1"/>
  <c r="E17" i="1" s="1"/>
  <c r="E14" i="10"/>
  <c r="D16" i="1" s="1"/>
  <c r="E16" i="1" s="1"/>
  <c r="E13" i="10"/>
  <c r="D15" i="1" s="1"/>
  <c r="E15" i="1" s="1"/>
  <c r="E12" i="10"/>
  <c r="D14" i="1" s="1"/>
  <c r="E14" i="1" s="1"/>
  <c r="E11" i="10"/>
  <c r="D13" i="1" s="1"/>
  <c r="E13" i="1" s="1"/>
  <c r="D7" i="1"/>
  <c r="D6" i="1"/>
  <c r="D5" i="1"/>
  <c r="E29" i="1" l="1"/>
  <c r="F23" i="1"/>
  <c r="B29" i="1" l="1"/>
  <c r="C4" i="1" s="1"/>
  <c r="D4" i="1" s="1"/>
  <c r="D8" i="1" s="1"/>
  <c r="E4" i="1" s="1"/>
  <c r="E9" i="1" l="1"/>
  <c r="L45" i="5"/>
  <c r="M45" i="5" s="1"/>
  <c r="L53" i="5"/>
  <c r="M53" i="5" s="1"/>
  <c r="M38" i="5"/>
  <c r="N38" i="5" s="1"/>
  <c r="D57" i="5" l="1"/>
  <c r="D56" i="5"/>
  <c r="D55" i="5"/>
  <c r="D58" i="5" l="1"/>
  <c r="E58" i="5" s="1"/>
  <c r="F10" i="8" l="1"/>
</calcChain>
</file>

<file path=xl/sharedStrings.xml><?xml version="1.0" encoding="utf-8"?>
<sst xmlns="http://schemas.openxmlformats.org/spreadsheetml/2006/main" count="298" uniqueCount="222">
  <si>
    <t xml:space="preserve"> اطلاعات عمومي و ثبتي شركت</t>
  </si>
  <si>
    <t>نام شرکت</t>
  </si>
  <si>
    <t>تاريخ، شماره و محل ثبت شرکت</t>
  </si>
  <si>
    <t>شناسه ملي</t>
  </si>
  <si>
    <t>نوع شركت (خصوصي، دولتي، وابسته به نهاد عمومی غیردولتی و یا گروه همکاري)</t>
  </si>
  <si>
    <t>نشاني دفتر مركزي</t>
  </si>
  <si>
    <t>دورنگار</t>
  </si>
  <si>
    <t>نام شركت/ شركت‌هاي همكار ايراني/ بین‌المللی (در صورت وجود) و ميزان و نحوه مشاركت</t>
  </si>
  <si>
    <t>نام شرکت‌هایی که با این شرکت سهام‌دار/ هیات مدیره مشترك دارند</t>
  </si>
  <si>
    <t>رشته و رتبه‌هاي صلاحیت شرکت در ارزیابی سازمان برنامه و بودجه / وزارت نیرو/ سایر مراجع ذی‌صلاح</t>
  </si>
  <si>
    <t>رئيس هيأت مديره</t>
  </si>
  <si>
    <t>نام و نام خانوادگی:</t>
  </si>
  <si>
    <t>سابقه كار در این سمت:</t>
  </si>
  <si>
    <t>مدرك و رشته تحصيلي:</t>
  </si>
  <si>
    <t>سال اخذ مدرك:</t>
  </si>
  <si>
    <t>مدیرعامل</t>
  </si>
  <si>
    <t>سابقه كار در اين سمت:</t>
  </si>
  <si>
    <r>
      <t xml:space="preserve">وب سايت و </t>
    </r>
    <r>
      <rPr>
        <sz val="14"/>
        <color rgb="FF000000"/>
        <rFont val="Calibri"/>
        <family val="2"/>
      </rPr>
      <t>Email</t>
    </r>
  </si>
  <si>
    <r>
      <t>زمينه‌هاي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فعاليت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و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سوابق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كاري شركت:</t>
    </r>
  </si>
  <si>
    <t>شرح كاملي از مشخصات و تخصص‌هاي شركت را بيان نماييد‌ (بر اساس اساسنامه و آگهی آخرین تغییرات و مستندات مربوط‌)</t>
  </si>
  <si>
    <t>رديف</t>
  </si>
  <si>
    <t>شرح</t>
  </si>
  <si>
    <t>تعداد</t>
  </si>
  <si>
    <t>ارائه سوابق از کارهای مشابه</t>
  </si>
  <si>
    <t>مطابق جدول کار مشابه</t>
  </si>
  <si>
    <t>ارائه سوابق از کارهای مرتبط هر کدام 25 امتياز</t>
  </si>
  <si>
    <t>مطابق جدول کار مرتبط</t>
  </si>
  <si>
    <t>در صورتي كه شرکت متقاضی امتياز رديف 1 جدول را  به ‌صورت كامل كسب نموده باشد، نیازی به محاسبه امتياز رديف دوم نیست.</t>
  </si>
  <si>
    <t>کار مشابه: در حوزه نیروگاه فتوولتائیک</t>
  </si>
  <si>
    <t>امتیاز هر کار</t>
  </si>
  <si>
    <t>حداکثر امتیاز قابل قبول</t>
  </si>
  <si>
    <r>
      <t>ظرفیت نیروگاه (</t>
    </r>
    <r>
      <rPr>
        <b/>
        <sz val="14"/>
        <color rgb="FF000000"/>
        <rFont val="Times New Roman"/>
        <family val="1"/>
      </rPr>
      <t>MW</t>
    </r>
    <r>
      <rPr>
        <b/>
        <sz val="14"/>
        <color rgb="FF000000"/>
        <rFont val="B Nazanin"/>
        <charset val="178"/>
      </rPr>
      <t>)</t>
    </r>
  </si>
  <si>
    <t>کار مرتبط: انواع نیروگاه‌های غیرفتوولتائیک (بادی، حرارتی، خط، پست و...)</t>
  </si>
  <si>
    <t>نوع فعالیت</t>
  </si>
  <si>
    <t>خط و پست</t>
  </si>
  <si>
    <t>نحوه محاسبه امتياز معيار حسن سابقه و رضایت در کارهای قبلی</t>
  </si>
  <si>
    <t xml:space="preserve"> عنوان معیار/شاخص</t>
  </si>
  <si>
    <t>امتیاز</t>
  </si>
  <si>
    <t>عنوان</t>
  </si>
  <si>
    <t>پروژه 1</t>
  </si>
  <si>
    <t>پروژه 2</t>
  </si>
  <si>
    <t>پروژه 3</t>
  </si>
  <si>
    <t>پروژه 4</t>
  </si>
  <si>
    <t>پروژه 5</t>
  </si>
  <si>
    <t>نام پروژه:</t>
  </si>
  <si>
    <t>نام مشاور:</t>
  </si>
  <si>
    <t>مدت قرارداد:</t>
  </si>
  <si>
    <t>تاریخ شروع:</t>
  </si>
  <si>
    <t>تاریخ تحویل:</t>
  </si>
  <si>
    <t xml:space="preserve">نام فرد مطلع در سیستم کارفرما: </t>
  </si>
  <si>
    <t>حسن سابقه و رضایت در کارهای قبلی</t>
  </si>
  <si>
    <t>ماشین‌آلات و تجهیزات پشتیبانی</t>
  </si>
  <si>
    <t>جمع کل امتیاز</t>
  </si>
  <si>
    <t>امتیاز کل</t>
  </si>
  <si>
    <t>ردیف</t>
  </si>
  <si>
    <t>امتیاز مکتسبه</t>
  </si>
  <si>
    <t>امتیاز معیار</t>
  </si>
  <si>
    <t>ملاحظات</t>
  </si>
  <si>
    <t>معیار ارزیابی پیمانکار</t>
  </si>
  <si>
    <t>پروژه 6</t>
  </si>
  <si>
    <t>پروژه 7</t>
  </si>
  <si>
    <t>پروژه 8</t>
  </si>
  <si>
    <t>پروژه 9</t>
  </si>
  <si>
    <t>پروژه 10</t>
  </si>
  <si>
    <t xml:space="preserve"> در حوزه نیروگاه فتوولتائیک</t>
  </si>
  <si>
    <t>نام و نشانی کارفرما:</t>
  </si>
  <si>
    <t>شماره و مبلغ قرارداد:</t>
  </si>
  <si>
    <t xml:space="preserve"> در حوزه نیروگاه غیر فتوولتائیک</t>
  </si>
  <si>
    <t>جمع امتیاز</t>
  </si>
  <si>
    <t>امتیاز کسب شده جدول نیروگاه فتوولتائیک</t>
  </si>
  <si>
    <t>امتیاز کسب شده از جدول نیروگاه غیر فتوولتائیک</t>
  </si>
  <si>
    <t xml:space="preserve"> در حوزه خط و پست</t>
  </si>
  <si>
    <t>امتیاز کسب شده از جدول خط و پست</t>
  </si>
  <si>
    <t>امتیاز مکتسبه قابل قبول</t>
  </si>
  <si>
    <t>امتياز هريك از شاخص‌ها (0 تا 100)</t>
  </si>
  <si>
    <r>
      <t xml:space="preserve"> </t>
    </r>
    <r>
      <rPr>
        <b/>
        <sz val="11"/>
        <color rgb="FF000000"/>
        <rFont val="Times New Roman"/>
        <family val="1"/>
      </rPr>
      <t>a</t>
    </r>
    <r>
      <rPr>
        <b/>
        <vertAlign val="subscript"/>
        <sz val="11"/>
        <color rgb="FF000000"/>
        <rFont val="Times New Roman"/>
        <family val="1"/>
      </rPr>
      <t>i</t>
    </r>
  </si>
  <si>
    <t>ضريب وزنی</t>
  </si>
  <si>
    <r>
      <t xml:space="preserve"> </t>
    </r>
    <r>
      <rPr>
        <b/>
        <vertAlign val="subscript"/>
        <sz val="11"/>
        <color rgb="FF000000"/>
        <rFont val="Times New Roman"/>
        <family val="1"/>
      </rPr>
      <t>bi</t>
    </r>
  </si>
  <si>
    <t>عالی</t>
  </si>
  <si>
    <t>خوب</t>
  </si>
  <si>
    <t>متوسط</t>
  </si>
  <si>
    <t>ضعيف</t>
  </si>
  <si>
    <t>كيفيت كار</t>
  </si>
  <si>
    <t xml:space="preserve">كفايت كادر فني </t>
  </si>
  <si>
    <t>زمان‌بندي پروژه</t>
  </si>
  <si>
    <t>استفاده از تجهیزات مناسب و کافی جهت انجام کار</t>
  </si>
  <si>
    <t>هماهنگي و همكاري با كارفرما و ساير عوامل‌ دست‌اندر‌كار پروژه و همچنين همكاري دردوران تضمين</t>
  </si>
  <si>
    <t>عملکرد مالي و نحوه پشتيباني مالي پروژه</t>
  </si>
  <si>
    <t>رابط پروژه برای مکاتبات</t>
  </si>
  <si>
    <t>شماره ثابت:
شماره همراه:
ایمیل:</t>
  </si>
  <si>
    <t xml:space="preserve">راهنما - در صورت ارائه رضایت نامه، امتیاز ایتم ها معادل خوب (80 امتیاز) در نظر گرفته شود. </t>
  </si>
  <si>
    <t>تجهیز مرتبط با نصب سازه</t>
  </si>
  <si>
    <t>تجهیز مرتبط با عملیات عمرانی (تسطیح و..)</t>
  </si>
  <si>
    <t xml:space="preserve">ابزارآلات مرتبط با اندازه گیری و ارزیابی تجهیزات نیروگاه </t>
  </si>
  <si>
    <t>ابزارآلات مرتبط با نصب تجهیزات نیروگاه خورشیدی (الکتریکال و مکانیکال)</t>
  </si>
  <si>
    <t>توضیحات</t>
  </si>
  <si>
    <t xml:space="preserve"> تنها سلولهای رنگی می بایست تکمیل شوند.
سلولهای آبی بر اساس لیست کشویی تکمیل شوند.
سلولهای زرد توسط کاربر تکمیل شوند.</t>
  </si>
  <si>
    <t>ضعیف</t>
  </si>
  <si>
    <t>خیلی خوب</t>
  </si>
  <si>
    <t>""</t>
  </si>
  <si>
    <t>امتیاز پروژه</t>
  </si>
  <si>
    <t>امتیاز کل ارزیابی کیفی پیمانکاران نیروگا های فتوولتائیک مگاواتی ( فاقد رتبه پیمانکاری)</t>
  </si>
  <si>
    <t>داشتن تجربه و دانش در زمینه مورد نظر
(سابقه اجرایی)</t>
  </si>
  <si>
    <t>توان مالی</t>
  </si>
  <si>
    <t xml:space="preserve">کفایت کارکنان کلیدی </t>
  </si>
  <si>
    <t>نام شرکت:</t>
  </si>
  <si>
    <t>گزینه</t>
  </si>
  <si>
    <t>معیار ارزیابی تامین کننده</t>
  </si>
  <si>
    <t>مبلغ   (ریال)</t>
  </si>
  <si>
    <t>مبلغ محاسباتی</t>
  </si>
  <si>
    <t>الف</t>
  </si>
  <si>
    <r>
      <t xml:space="preserve">یکصد برابر مبلغ مالیات متوسط سالانه، مستند به اسناد مالیات های قطعی (حداکثر 10 سال گذشته) - </t>
    </r>
    <r>
      <rPr>
        <sz val="13"/>
        <color rgb="FFFF0000"/>
        <rFont val="B Nazanin"/>
        <charset val="178"/>
      </rPr>
      <t>(پس از تعدیل بانک مرکزی برای هر سال)</t>
    </r>
  </si>
  <si>
    <t>ب</t>
  </si>
  <si>
    <t>بیست و پنج درصددرآمد آخرین سال ، مستند به ‌قراردادها و اسناد فروش و یا صورت‌های مالی تأییدشده</t>
  </si>
  <si>
    <t>ج</t>
  </si>
  <si>
    <t>ده درصد دارايي‌هاي ثابت، مستند به اظهارنامه رسمی يا گواهي بيمه دارايي‌ها</t>
  </si>
  <si>
    <t>د</t>
  </si>
  <si>
    <t>تأیید اعتبار از سوی بانک و یا مؤسسات مالی و اعتباری معتبر تا ده برابر سقف معاملات متوسط</t>
  </si>
  <si>
    <t xml:space="preserve">مالیات قطعی </t>
  </si>
  <si>
    <t>میزان مالیات(ریال)</t>
  </si>
  <si>
    <t>ضریب تعدیل</t>
  </si>
  <si>
    <t xml:space="preserve">مالیات قطعی تعدیل شده </t>
  </si>
  <si>
    <t>متوسط ده ساله</t>
  </si>
  <si>
    <t>سال</t>
  </si>
  <si>
    <t>شاخص بهای کالاها و خدمات مصرفی</t>
  </si>
  <si>
    <t>ضرایب تعدیل</t>
  </si>
  <si>
    <t>نصاب معاملات متوسط</t>
  </si>
  <si>
    <t xml:space="preserve">تبصره : کارهای در دست اقدام  که پیشرفت فیزیکی آن بیش از  90 درصد باشد مشمول امتیازات فوق خواهند شد </t>
  </si>
  <si>
    <r>
      <t>ظرفیت نیروگاه (K</t>
    </r>
    <r>
      <rPr>
        <b/>
        <sz val="14"/>
        <color rgb="FF000000"/>
        <rFont val="Times New Roman"/>
        <family val="1"/>
      </rPr>
      <t>W</t>
    </r>
    <r>
      <rPr>
        <b/>
        <sz val="14"/>
        <color rgb="FF000000"/>
        <rFont val="B Nazanin"/>
        <charset val="178"/>
      </rPr>
      <t>)</t>
    </r>
  </si>
  <si>
    <t>20-5</t>
  </si>
  <si>
    <t>100-20</t>
  </si>
  <si>
    <t>500-100</t>
  </si>
  <si>
    <t>بالاتر 500</t>
  </si>
  <si>
    <t>نیروگاه‌های غیر فتوولتائیک بالاتر از 200 کیلو وات</t>
  </si>
  <si>
    <t>کارشناس</t>
  </si>
  <si>
    <t>تکنسین</t>
  </si>
  <si>
    <t>برق</t>
  </si>
  <si>
    <t>مکانیک</t>
  </si>
  <si>
    <t>عمران</t>
  </si>
  <si>
    <t>نام و نام خانوادگي</t>
  </si>
  <si>
    <t>رشته</t>
  </si>
  <si>
    <t xml:space="preserve">هر نوع گواهینامه تخصصی مرتبط </t>
  </si>
  <si>
    <t>کارشناس / تکنسین</t>
  </si>
  <si>
    <r>
      <t>سابقه كار مفيد</t>
    </r>
    <r>
      <rPr>
        <b/>
        <vertAlign val="superscript"/>
        <sz val="10"/>
        <color rgb="FF000000"/>
        <rFont val="B Nazanin"/>
        <charset val="178"/>
      </rPr>
      <t>*×</t>
    </r>
  </si>
  <si>
    <t>سال فارغ‌التحصيلي</t>
  </si>
  <si>
    <t xml:space="preserve">ضریب رشته تحصیلی </t>
  </si>
  <si>
    <t>امتیاز گواهی‌نامه‌های معتبر و مرتبط در زمینه کاری (اخذ شده توسط پرسنل شرکت)</t>
  </si>
  <si>
    <t>هر نوع گواهینامه تخصصی مرتبط 1 امتیاز مجموعاً 5</t>
  </si>
  <si>
    <t>مجموع</t>
  </si>
  <si>
    <r>
      <rPr>
        <sz val="11"/>
        <color rgb="FF000000"/>
        <rFont val="B Nazanin"/>
        <charset val="178"/>
      </rPr>
      <t>توجه 1: حداکثر  4 نفر به عنوان کادر فنی در جدول زیر قابل ارائه است.
توجه 2: ارائه رشته برق (کارشناس/ تکنسین) شاغل در شرکت الزامی است. در صورت عدم ارائه این رشته، سایر رشته ها نیز امتیاز دهی نخواهند شد. 
• رشته های برق ضریب 100 درصد، مکانیک 80 درصد، عمران 100 درصد در نظر گرفته می شود.
• منظور از تکنسین ها، اشخاص حقيقي متخصصی است که در شرکت مورد نظر شاغل مي‌باشد.
• حداقل سابقه کار مفید قابل قبول یک سال می‌باشد.
• جهت محاسبه امتیاز پرسنل ملاک ارائه مدارک تحصیلی اعضا و مستندات مربوط به سوابق کاری پرسنل نظیر تصویر قرارداد و یا تائیدیه‌ کارگزینی به همراه سوابق پرداخت بیمه عادی و تلفیقی و یا مستند دیگری که سوابق کاری افراد تیم فنی را نشان دهد، می‌باشد</t>
    </r>
    <r>
      <rPr>
        <sz val="11"/>
        <color rgb="FF000000"/>
        <rFont val="Symbol"/>
        <family val="1"/>
        <charset val="2"/>
      </rPr>
      <t xml:space="preserve">
</t>
    </r>
  </si>
  <si>
    <t>دستگاه سنگ فرز</t>
  </si>
  <si>
    <t>دستگاه جوش</t>
  </si>
  <si>
    <t>جعبه بکس</t>
  </si>
  <si>
    <t>قیچی کابل</t>
  </si>
  <si>
    <t>دستگاه پرچ</t>
  </si>
  <si>
    <t>جعبه ابزار نصب سازه</t>
  </si>
  <si>
    <t>جعبه ابزار نصب تجهیزات الکتریکی</t>
  </si>
  <si>
    <t>تراز لیزري و دستی</t>
  </si>
  <si>
    <t>متر چرخ دار و لیزری</t>
  </si>
  <si>
    <t>دریل حفاری با متعلقات</t>
  </si>
  <si>
    <t>ارت سنج</t>
  </si>
  <si>
    <t>مولتی متر دیجیتال</t>
  </si>
  <si>
    <t>دستگاه حرارت سنج مادون قرمز</t>
  </si>
  <si>
    <t>تستر مقاومت عایقی میگر</t>
  </si>
  <si>
    <t>مولتی متر کلمپی</t>
  </si>
  <si>
    <t>تستر کابل و کانکتور شبکه</t>
  </si>
  <si>
    <t>پرس کابل شو دستی</t>
  </si>
  <si>
    <t>سیم لخت کن اتوماتیک</t>
  </si>
  <si>
    <t>لایت متر(نور سنج)</t>
  </si>
  <si>
    <t>کولیس دیجیتال</t>
  </si>
  <si>
    <t>قطب نما</t>
  </si>
  <si>
    <t>کمر بند ایمن کار</t>
  </si>
  <si>
    <t>انواع دستکش عایق برق</t>
  </si>
  <si>
    <t>کف پوش عایق برق</t>
  </si>
  <si>
    <t xml:space="preserve">ماشین پایه کوب </t>
  </si>
  <si>
    <t>کامیون و وانت نیسان</t>
  </si>
  <si>
    <t>ولتمتر DC</t>
  </si>
  <si>
    <t>انواع دریل برقی</t>
  </si>
  <si>
    <t xml:space="preserve">دستگاه الایمنت لیزری </t>
  </si>
  <si>
    <t>پرس هیدرولیک</t>
  </si>
  <si>
    <t>ابزار مخصوص لیفت قطعات</t>
  </si>
  <si>
    <t>پنل راه انداز</t>
  </si>
  <si>
    <t>آچار ترك هیدرولیک</t>
  </si>
  <si>
    <t>دستگاه تزریق گاز نیتروژن</t>
  </si>
  <si>
    <t>لیفتینگ قطعات اصلی</t>
  </si>
  <si>
    <t>بیل مکانیکی</t>
  </si>
  <si>
    <t xml:space="preserve">لودر </t>
  </si>
  <si>
    <t>جرثقیل</t>
  </si>
  <si>
    <t xml:space="preserve">موتور برق </t>
  </si>
  <si>
    <t>دیزل ژنراتور</t>
  </si>
  <si>
    <t>انواع بالابر برقی و هیدرولیکی</t>
  </si>
  <si>
    <t>کانکس و غیره</t>
  </si>
  <si>
    <t>هارد نس</t>
  </si>
  <si>
    <t>نصاب معاملات 1404</t>
  </si>
  <si>
    <t>امتیاز نهایی</t>
  </si>
  <si>
    <t>امتیازنهایی</t>
  </si>
  <si>
    <t>2- نحوه محاسبه امتياز معيار سابقه اجرايي ( 30 امتیاز)</t>
  </si>
  <si>
    <t xml:space="preserve"> 3-نحوه محاسبه امتياز معيار سابقه اجرايي ( 20 امتیاز)</t>
  </si>
  <si>
    <t xml:space="preserve"> 4-نحوه محاسبه امتياز معيار کیفیت کارکنان کلیدی ( 15 امتیاز)</t>
  </si>
  <si>
    <t xml:space="preserve"> تجهیزات عمرانی ( 3امتیاز)</t>
  </si>
  <si>
    <t xml:space="preserve"> ابزارآلات و تجهیزات عمومی ( 10امتیاز)</t>
  </si>
  <si>
    <t>نسبت برابر نصاب معاملات متوسط</t>
  </si>
  <si>
    <t>تعداد سل های پر شده مالیاتی</t>
  </si>
  <si>
    <t>متوسط مالیات با احتساب سل های پر شده</t>
  </si>
  <si>
    <t>امتیاز مالی</t>
  </si>
  <si>
    <r>
      <rPr>
        <b/>
        <sz val="18"/>
        <color rgb="FF000000"/>
        <rFont val="Times New Roman"/>
        <family val="1"/>
      </rPr>
      <t>  </t>
    </r>
    <r>
      <rPr>
        <b/>
        <sz val="18"/>
        <color rgb="FF000000"/>
        <rFont val="B Nazanin"/>
        <charset val="178"/>
      </rPr>
      <t>5</t>
    </r>
    <r>
      <rPr>
        <b/>
        <sz val="18"/>
        <color rgb="FF000000"/>
        <rFont val="Times New Roman"/>
        <family val="1"/>
      </rPr>
      <t xml:space="preserve">- </t>
    </r>
    <r>
      <rPr>
        <b/>
        <sz val="18"/>
        <color rgb="FF000000"/>
        <rFont val="B Nazanin"/>
        <charset val="178"/>
      </rPr>
      <t>نحوه محاسبه امتياز معيار توان ماشین‌آلات و تجهیزات پشتیبانی</t>
    </r>
    <r>
      <rPr>
        <b/>
        <sz val="18"/>
        <color rgb="FF000000"/>
        <rFont val="B Nazanin"/>
        <family val="1"/>
        <charset val="178"/>
      </rPr>
      <t xml:space="preserve"> ( 15 امتیاز)</t>
    </r>
  </si>
  <si>
    <t>1- نحوه محاسبه معیارامتیاز مالی (20 امتیاز)</t>
  </si>
  <si>
    <t>نوع مالكيت تجهيزات و ماشين‌آلات</t>
  </si>
  <si>
    <t>تجهیزات ایمنی  ( 2 امتیاز)</t>
  </si>
  <si>
    <t>قطعی( در مالکیت شرکت)</t>
  </si>
  <si>
    <t>اجاره ای</t>
  </si>
  <si>
    <t>عینک ، کفش و کلاه ایمنی</t>
  </si>
  <si>
    <t>امتیاز ابزار آلات عمومی</t>
  </si>
  <si>
    <t>امتیاز تجهیزات  ایمنی</t>
  </si>
  <si>
    <t>عمرانی</t>
  </si>
  <si>
    <t>عمومی</t>
  </si>
  <si>
    <t>ایمنی</t>
  </si>
  <si>
    <t>لطفاً فقط در سلول آبی 
انتخاب کنید</t>
  </si>
  <si>
    <t>امتیازتجهیز عمرانی</t>
  </si>
  <si>
    <t xml:space="preserve">ضریب امتیاز </t>
  </si>
  <si>
    <t xml:space="preserve">امتیاز کل اتوماتیک </t>
  </si>
  <si>
    <t>امتیاز کل کارشناسی به صورت دستی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</si>
</sst>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3000401]0"/>
    <numFmt numFmtId="165" formatCode="#,##0.0"/>
    <numFmt numFmtId="166" formatCode="_(* #,##0_);_(* \(#,##0\);_(* &quot;-&quot;??_);_(@_)"/>
    <numFmt numFmtId="167" formatCode="0.0"/>
  </numFmts>
  <fonts count="35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6"/>
      <color rgb="FF000000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2"/>
      <color rgb="FF000000"/>
      <name val="B Nazanin"/>
      <charset val="178"/>
    </font>
    <font>
      <sz val="14"/>
      <color rgb="FF000000"/>
      <name val="B Nazanin"/>
      <charset val="178"/>
    </font>
    <font>
      <sz val="14"/>
      <color rgb="FF000000"/>
      <name val="Calibri"/>
      <family val="2"/>
    </font>
    <font>
      <b/>
      <sz val="12"/>
      <color rgb="FF000000"/>
      <name val="B Nazanin"/>
      <charset val="178"/>
    </font>
    <font>
      <b/>
      <sz val="12"/>
      <color rgb="FF000000"/>
      <name val="BNazanin"/>
    </font>
    <font>
      <b/>
      <sz val="14"/>
      <color theme="1"/>
      <name val="B Nazanin"/>
      <charset val="178"/>
    </font>
    <font>
      <b/>
      <sz val="11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1"/>
      <color rgb="FF000000"/>
      <name val="Times New Roman"/>
      <family val="1"/>
    </font>
    <font>
      <b/>
      <vertAlign val="subscript"/>
      <sz val="11"/>
      <color rgb="FF000000"/>
      <name val="Times New Roman"/>
      <family val="1"/>
    </font>
    <font>
      <sz val="11"/>
      <color rgb="FF000000"/>
      <name val="B Nazanin"/>
      <charset val="178"/>
    </font>
    <font>
      <b/>
      <sz val="11"/>
      <color theme="1"/>
      <name val="B Nazanin"/>
      <charset val="178"/>
    </font>
    <font>
      <b/>
      <sz val="18"/>
      <color theme="1"/>
      <name val="B Nazanin"/>
      <charset val="178"/>
    </font>
    <font>
      <b/>
      <sz val="18"/>
      <color rgb="FF000000"/>
      <name val="Times New Roman"/>
      <family val="1"/>
    </font>
    <font>
      <b/>
      <sz val="18"/>
      <color rgb="FF000000"/>
      <name val="B Nazanin"/>
      <charset val="178"/>
    </font>
    <font>
      <b/>
      <sz val="18"/>
      <color rgb="FF000000"/>
      <name val="B Nazanin"/>
      <family val="1"/>
      <charset val="178"/>
    </font>
    <font>
      <sz val="13"/>
      <color theme="1"/>
      <name val="B Nazanin"/>
      <charset val="178"/>
    </font>
    <font>
      <sz val="13"/>
      <color rgb="FFFF0000"/>
      <name val="B Nazanin"/>
      <charset val="178"/>
    </font>
    <font>
      <sz val="8"/>
      <name val="Calibri"/>
      <family val="2"/>
      <scheme val="minor"/>
    </font>
    <font>
      <b/>
      <sz val="10"/>
      <color rgb="FF000000"/>
      <name val="B Nazanin"/>
      <charset val="178"/>
    </font>
    <font>
      <b/>
      <vertAlign val="superscript"/>
      <sz val="10"/>
      <color rgb="FF000000"/>
      <name val="B Nazanin"/>
      <charset val="178"/>
    </font>
    <font>
      <b/>
      <sz val="10"/>
      <color theme="1" tint="0.249977111117893"/>
      <name val="B Nazanin"/>
      <charset val="178"/>
    </font>
    <font>
      <sz val="11"/>
      <color rgb="FF000000"/>
      <name val="Symbol"/>
      <family val="1"/>
      <charset val="2"/>
    </font>
    <font>
      <sz val="11"/>
      <color rgb="FF000000"/>
      <name val="Symbol"/>
      <family val="1"/>
      <charset val="178"/>
    </font>
    <font>
      <sz val="18"/>
      <color theme="1"/>
      <name val="B Nazanin"/>
      <charset val="178"/>
    </font>
    <font>
      <b/>
      <sz val="22"/>
      <color theme="1"/>
      <name val="B Nazanin"/>
      <charset val="178"/>
    </font>
    <font>
      <sz val="16"/>
      <color theme="1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horizontal="right" vertical="center" wrapText="1" readingOrder="2"/>
    </xf>
    <xf numFmtId="0" fontId="6" fillId="0" borderId="1" xfId="0" applyFont="1" applyBorder="1" applyAlignment="1">
      <alignment horizontal="justify" vertical="center" wrapText="1" readingOrder="2"/>
    </xf>
    <xf numFmtId="0" fontId="8" fillId="0" borderId="1" xfId="0" applyFont="1" applyBorder="1"/>
    <xf numFmtId="0" fontId="4" fillId="0" borderId="0" xfId="0" applyFont="1" applyAlignment="1">
      <alignment readingOrder="2"/>
    </xf>
    <xf numFmtId="0" fontId="6" fillId="0" borderId="1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 readingOrder="2"/>
    </xf>
    <xf numFmtId="0" fontId="12" fillId="2" borderId="5" xfId="0" applyFont="1" applyFill="1" applyBorder="1" applyAlignment="1">
      <alignment horizontal="center" vertical="center" wrapText="1" readingOrder="2"/>
    </xf>
    <xf numFmtId="0" fontId="12" fillId="2" borderId="6" xfId="0" applyFont="1" applyFill="1" applyBorder="1" applyAlignment="1">
      <alignment horizontal="center" vertical="center" wrapText="1" readingOrder="1"/>
    </xf>
    <xf numFmtId="0" fontId="12" fillId="2" borderId="7" xfId="0" applyFont="1" applyFill="1" applyBorder="1" applyAlignment="1">
      <alignment horizontal="center" vertical="center" wrapText="1" readingOrder="1"/>
    </xf>
    <xf numFmtId="0" fontId="6" fillId="4" borderId="9" xfId="0" applyFont="1" applyFill="1" applyBorder="1" applyAlignment="1">
      <alignment horizontal="center" vertical="center" wrapText="1" readingOrder="2"/>
    </xf>
    <xf numFmtId="0" fontId="12" fillId="0" borderId="10" xfId="0" applyFont="1" applyBorder="1" applyAlignment="1">
      <alignment horizontal="center" vertical="center" wrapText="1" readingOrder="2"/>
    </xf>
    <xf numFmtId="0" fontId="6" fillId="4" borderId="11" xfId="0" applyFont="1" applyFill="1" applyBorder="1" applyAlignment="1">
      <alignment horizontal="center" vertical="center" wrapText="1" readingOrder="2"/>
    </xf>
    <xf numFmtId="0" fontId="6" fillId="4" borderId="12" xfId="0" applyFont="1" applyFill="1" applyBorder="1" applyAlignment="1">
      <alignment horizontal="center" vertical="center" wrapText="1" readingOrder="2"/>
    </xf>
    <xf numFmtId="0" fontId="11" fillId="0" borderId="8" xfId="0" applyFont="1" applyBorder="1" applyAlignment="1">
      <alignment horizontal="center" vertical="center" wrapText="1" readingOrder="2"/>
    </xf>
    <xf numFmtId="0" fontId="10" fillId="0" borderId="1" xfId="0" applyFont="1" applyBorder="1"/>
    <xf numFmtId="0" fontId="11" fillId="0" borderId="1" xfId="0" applyFont="1" applyBorder="1" applyAlignment="1">
      <alignment horizontal="justify" vertical="center" wrapText="1" readingOrder="2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Fill="1" applyAlignment="1"/>
    <xf numFmtId="0" fontId="10" fillId="5" borderId="2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20" xfId="0" applyFont="1" applyBorder="1"/>
    <xf numFmtId="2" fontId="10" fillId="0" borderId="23" xfId="1" applyNumberFormat="1" applyFont="1" applyFill="1" applyBorder="1" applyAlignment="1">
      <alignment horizontal="center" vertical="center"/>
    </xf>
    <xf numFmtId="43" fontId="10" fillId="0" borderId="23" xfId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justify" vertical="center" wrapText="1" readingOrder="2"/>
    </xf>
    <xf numFmtId="0" fontId="3" fillId="0" borderId="25" xfId="0" applyFont="1" applyBorder="1"/>
    <xf numFmtId="0" fontId="3" fillId="0" borderId="18" xfId="0" applyFont="1" applyBorder="1"/>
    <xf numFmtId="0" fontId="3" fillId="0" borderId="26" xfId="0" applyFont="1" applyBorder="1"/>
    <xf numFmtId="0" fontId="3" fillId="0" borderId="21" xfId="0" applyFont="1" applyBorder="1"/>
    <xf numFmtId="0" fontId="11" fillId="2" borderId="17" xfId="0" applyFont="1" applyFill="1" applyBorder="1" applyAlignment="1">
      <alignment horizontal="justify" vertical="center" wrapText="1" readingOrder="2"/>
    </xf>
    <xf numFmtId="0" fontId="11" fillId="4" borderId="15" xfId="0" applyFont="1" applyFill="1" applyBorder="1" applyAlignment="1">
      <alignment horizontal="center" vertical="center" wrapText="1" readingOrder="2"/>
    </xf>
    <xf numFmtId="0" fontId="11" fillId="0" borderId="17" xfId="0" applyFont="1" applyBorder="1" applyAlignment="1">
      <alignment horizontal="center" vertical="center" wrapText="1" readingOrder="2"/>
    </xf>
    <xf numFmtId="0" fontId="18" fillId="0" borderId="17" xfId="0" applyFont="1" applyBorder="1" applyAlignment="1">
      <alignment horizontal="center" vertical="center" wrapText="1" readingOrder="2"/>
    </xf>
    <xf numFmtId="0" fontId="11" fillId="0" borderId="17" xfId="0" applyFont="1" applyBorder="1" applyAlignment="1">
      <alignment horizontal="justify" vertical="center" wrapText="1" readingOrder="2"/>
    </xf>
    <xf numFmtId="0" fontId="11" fillId="2" borderId="14" xfId="0" applyFont="1" applyFill="1" applyBorder="1" applyAlignment="1">
      <alignment horizontal="center" vertical="center" wrapText="1" readingOrder="2"/>
    </xf>
    <xf numFmtId="0" fontId="11" fillId="2" borderId="27" xfId="0" applyFont="1" applyFill="1" applyBorder="1" applyAlignment="1">
      <alignment horizontal="center" vertical="center" wrapText="1" readingOrder="2"/>
    </xf>
    <xf numFmtId="0" fontId="0" fillId="2" borderId="15" xfId="0" applyFill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 readingOrder="2"/>
    </xf>
    <xf numFmtId="0" fontId="10" fillId="0" borderId="21" xfId="0" applyFont="1" applyBorder="1"/>
    <xf numFmtId="0" fontId="11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1" xfId="0" applyFont="1" applyBorder="1"/>
    <xf numFmtId="2" fontId="12" fillId="0" borderId="8" xfId="0" applyNumberFormat="1" applyFont="1" applyBorder="1" applyAlignment="1">
      <alignment horizontal="center" vertical="center" wrapText="1" readingOrder="2"/>
    </xf>
    <xf numFmtId="49" fontId="12" fillId="0" borderId="8" xfId="0" applyNumberFormat="1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3" borderId="1" xfId="0" applyFont="1" applyFill="1" applyBorder="1" applyProtection="1">
      <protection locked="0"/>
    </xf>
    <xf numFmtId="0" fontId="5" fillId="0" borderId="1" xfId="0" applyFont="1" applyBorder="1" applyAlignment="1">
      <alignment horizontal="right" vertical="center" wrapText="1"/>
    </xf>
    <xf numFmtId="0" fontId="3" fillId="7" borderId="1" xfId="0" applyFont="1" applyFill="1" applyBorder="1" applyAlignment="1" applyProtection="1">
      <alignment horizontal="right"/>
      <protection locked="0"/>
    </xf>
    <xf numFmtId="0" fontId="15" fillId="7" borderId="1" xfId="0" applyFont="1" applyFill="1" applyBorder="1" applyProtection="1">
      <protection locked="0"/>
    </xf>
    <xf numFmtId="0" fontId="3" fillId="7" borderId="1" xfId="0" applyFon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33" xfId="0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/>
    </xf>
    <xf numFmtId="43" fontId="3" fillId="0" borderId="21" xfId="1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3" fontId="3" fillId="0" borderId="2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164" fontId="3" fillId="6" borderId="14" xfId="0" applyNumberFormat="1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/>
    </xf>
    <xf numFmtId="166" fontId="3" fillId="6" borderId="1" xfId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3" fillId="6" borderId="37" xfId="0" applyNumberFormat="1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right" vertical="center" wrapText="1"/>
    </xf>
    <xf numFmtId="166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>
      <alignment vertical="center"/>
    </xf>
    <xf numFmtId="0" fontId="24" fillId="6" borderId="39" xfId="0" applyFont="1" applyFill="1" applyBorder="1" applyAlignment="1">
      <alignment horizontal="right" vertical="center" wrapText="1"/>
    </xf>
    <xf numFmtId="166" fontId="3" fillId="3" borderId="25" xfId="1" applyNumberFormat="1" applyFont="1" applyFill="1" applyBorder="1" applyAlignment="1" applyProtection="1">
      <alignment horizontal="center" vertical="center"/>
      <protection locked="0"/>
    </xf>
    <xf numFmtId="43" fontId="10" fillId="6" borderId="1" xfId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readingOrder="2"/>
    </xf>
    <xf numFmtId="3" fontId="3" fillId="3" borderId="1" xfId="0" applyNumberFormat="1" applyFont="1" applyFill="1" applyBorder="1" applyProtection="1">
      <protection locked="0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3" fontId="10" fillId="6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 readingOrder="2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27" fillId="2" borderId="1" xfId="0" applyFont="1" applyFill="1" applyBorder="1" applyAlignment="1">
      <alignment horizontal="center" vertical="center" wrapText="1" readingOrder="2"/>
    </xf>
    <xf numFmtId="0" fontId="27" fillId="3" borderId="1" xfId="0" applyFont="1" applyFill="1" applyBorder="1" applyAlignment="1" applyProtection="1">
      <alignment horizontal="center" vertical="center" wrapText="1" readingOrder="2"/>
      <protection locked="0"/>
    </xf>
    <xf numFmtId="0" fontId="27" fillId="7" borderId="1" xfId="0" applyFont="1" applyFill="1" applyBorder="1" applyAlignment="1" applyProtection="1">
      <alignment horizontal="center" vertical="center" wrapText="1" readingOrder="2"/>
      <protection locked="0"/>
    </xf>
    <xf numFmtId="0" fontId="27" fillId="0" borderId="1" xfId="0" applyFont="1" applyBorder="1" applyAlignment="1">
      <alignment horizontal="center" vertical="center" wrapText="1" readingOrder="2"/>
    </xf>
    <xf numFmtId="0" fontId="3" fillId="9" borderId="0" xfId="0" applyFont="1" applyFill="1"/>
    <xf numFmtId="0" fontId="27" fillId="10" borderId="1" xfId="0" applyFont="1" applyFill="1" applyBorder="1" applyAlignment="1">
      <alignment horizontal="center" vertical="center" wrapText="1" readingOrder="2"/>
    </xf>
    <xf numFmtId="0" fontId="27" fillId="0" borderId="18" xfId="0" applyFont="1" applyBorder="1" applyAlignment="1">
      <alignment vertical="center" wrapText="1" readingOrder="2"/>
    </xf>
    <xf numFmtId="0" fontId="3" fillId="0" borderId="41" xfId="0" applyFont="1" applyBorder="1" applyAlignment="1">
      <alignment horizontal="center"/>
    </xf>
    <xf numFmtId="167" fontId="3" fillId="0" borderId="0" xfId="0" applyNumberFormat="1" applyFont="1"/>
    <xf numFmtId="0" fontId="30" fillId="0" borderId="0" xfId="0" applyFont="1" applyAlignment="1">
      <alignment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wrapText="1"/>
    </xf>
    <xf numFmtId="3" fontId="3" fillId="6" borderId="1" xfId="0" applyNumberFormat="1" applyFont="1" applyFill="1" applyBorder="1"/>
    <xf numFmtId="0" fontId="4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 wrapText="1" readingOrder="2"/>
    </xf>
    <xf numFmtId="0" fontId="3" fillId="0" borderId="0" xfId="0" applyFont="1" applyAlignment="1"/>
    <xf numFmtId="165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/>
    <xf numFmtId="4" fontId="10" fillId="12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 readingOrder="2"/>
    </xf>
    <xf numFmtId="0" fontId="13" fillId="7" borderId="1" xfId="0" applyFont="1" applyFill="1" applyBorder="1" applyAlignment="1" applyProtection="1">
      <alignment horizontal="center" vertical="center" wrapText="1" readingOrder="2"/>
      <protection locked="0"/>
    </xf>
    <xf numFmtId="0" fontId="32" fillId="6" borderId="1" xfId="0" applyFont="1" applyFill="1" applyBorder="1" applyAlignment="1" applyProtection="1">
      <alignment horizontal="center" vertical="center" wrapText="1" readingOrder="2"/>
      <protection locked="0"/>
    </xf>
    <xf numFmtId="0" fontId="13" fillId="0" borderId="42" xfId="0" applyFont="1" applyBorder="1" applyAlignment="1">
      <alignment horizontal="center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6" borderId="0" xfId="0" applyFont="1" applyFill="1" applyBorder="1" applyAlignment="1" applyProtection="1">
      <alignment horizontal="center" vertical="center" wrapText="1" readingOrder="2"/>
      <protection locked="0"/>
    </xf>
    <xf numFmtId="0" fontId="10" fillId="9" borderId="1" xfId="0" applyFont="1" applyFill="1" applyBorder="1" applyAlignment="1">
      <alignment horizontal="center" vertical="center" wrapText="1" readingOrder="2"/>
    </xf>
    <xf numFmtId="167" fontId="3" fillId="0" borderId="0" xfId="0" applyNumberFormat="1" applyFont="1" applyAlignment="1">
      <alignment horizontal="center"/>
    </xf>
    <xf numFmtId="0" fontId="20" fillId="9" borderId="1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center" vertical="center" wrapText="1" readingOrder="2"/>
    </xf>
    <xf numFmtId="0" fontId="34" fillId="9" borderId="0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 readingOrder="2"/>
    </xf>
    <xf numFmtId="167" fontId="32" fillId="3" borderId="1" xfId="0" applyNumberFormat="1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right" vertical="center" wrapText="1"/>
    </xf>
    <xf numFmtId="0" fontId="10" fillId="0" borderId="30" xfId="0" applyFont="1" applyBorder="1" applyAlignment="1">
      <alignment horizontal="right" vertical="center" wrapText="1"/>
    </xf>
    <xf numFmtId="0" fontId="10" fillId="0" borderId="31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43" fontId="10" fillId="6" borderId="24" xfId="1" applyFont="1" applyFill="1" applyBorder="1" applyAlignment="1">
      <alignment horizontal="center" vertical="center"/>
    </xf>
    <xf numFmtId="43" fontId="10" fillId="6" borderId="22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/>
    </xf>
    <xf numFmtId="0" fontId="4" fillId="8" borderId="36" xfId="0" applyFont="1" applyFill="1" applyBorder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3" fillId="9" borderId="4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readingOrder="2"/>
    </xf>
    <xf numFmtId="4" fontId="3" fillId="6" borderId="25" xfId="0" applyNumberFormat="1" applyFont="1" applyFill="1" applyBorder="1" applyAlignment="1">
      <alignment horizontal="center" vertical="center"/>
    </xf>
    <xf numFmtId="4" fontId="3" fillId="6" borderId="38" xfId="0" applyNumberFormat="1" applyFont="1" applyFill="1" applyBorder="1" applyAlignment="1">
      <alignment horizontal="center" vertical="center"/>
    </xf>
    <xf numFmtId="4" fontId="3" fillId="6" borderId="2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16" fontId="13" fillId="0" borderId="1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right"/>
    </xf>
    <xf numFmtId="0" fontId="10" fillId="3" borderId="3" xfId="0" applyFont="1" applyFill="1" applyBorder="1" applyAlignment="1">
      <alignment horizontal="right"/>
    </xf>
    <xf numFmtId="0" fontId="10" fillId="3" borderId="4" xfId="0" applyFont="1" applyFill="1" applyBorder="1" applyAlignment="1">
      <alignment horizontal="right"/>
    </xf>
    <xf numFmtId="0" fontId="4" fillId="7" borderId="0" xfId="0" applyFont="1" applyFill="1" applyAlignment="1">
      <alignment horizontal="center" vertical="center" readingOrder="2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4" borderId="2" xfId="0" applyFont="1" applyFill="1" applyBorder="1" applyAlignment="1">
      <alignment vertical="center" wrapText="1"/>
    </xf>
    <xf numFmtId="0" fontId="18" fillId="4" borderId="3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1" fillId="2" borderId="14" xfId="0" applyFont="1" applyFill="1" applyBorder="1" applyAlignment="1">
      <alignment horizontal="center" vertical="center" textRotation="180" wrapText="1" readingOrder="2"/>
    </xf>
    <xf numFmtId="0" fontId="11" fillId="2" borderId="27" xfId="0" applyFont="1" applyFill="1" applyBorder="1" applyAlignment="1">
      <alignment horizontal="center" vertical="center" textRotation="180" wrapText="1" readingOrder="2"/>
    </xf>
    <xf numFmtId="0" fontId="11" fillId="2" borderId="15" xfId="0" applyFont="1" applyFill="1" applyBorder="1" applyAlignment="1">
      <alignment horizontal="center" vertical="center" textRotation="180" wrapText="1" readingOrder="2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 readingOrder="2"/>
    </xf>
    <xf numFmtId="0" fontId="11" fillId="2" borderId="28" xfId="0" applyFont="1" applyFill="1" applyBorder="1" applyAlignment="1">
      <alignment horizontal="center" vertical="center" wrapText="1" readingOrder="2"/>
    </xf>
    <xf numFmtId="0" fontId="11" fillId="2" borderId="30" xfId="0" applyFont="1" applyFill="1" applyBorder="1" applyAlignment="1">
      <alignment horizontal="center" vertical="center" wrapText="1" readingOrder="2"/>
    </xf>
    <xf numFmtId="0" fontId="11" fillId="2" borderId="17" xfId="0" applyFont="1" applyFill="1" applyBorder="1" applyAlignment="1">
      <alignment horizontal="center" vertical="center" wrapText="1" readingOrder="2"/>
    </xf>
    <xf numFmtId="0" fontId="11" fillId="2" borderId="24" xfId="0" applyFont="1" applyFill="1" applyBorder="1" applyAlignment="1">
      <alignment horizontal="center" vertical="center" wrapText="1" readingOrder="2"/>
    </xf>
    <xf numFmtId="0" fontId="11" fillId="2" borderId="29" xfId="0" applyFont="1" applyFill="1" applyBorder="1" applyAlignment="1">
      <alignment horizontal="center" vertical="center" wrapText="1" readingOrder="2"/>
    </xf>
    <xf numFmtId="0" fontId="3" fillId="1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1" fillId="0" borderId="0" xfId="0" applyFont="1" applyAlignment="1">
      <alignment horizontal="right" vertical="center" wrapText="1" readingOrder="2"/>
    </xf>
    <xf numFmtId="0" fontId="30" fillId="0" borderId="0" xfId="0" applyFont="1" applyAlignment="1">
      <alignment horizontal="right" vertical="center" readingOrder="2"/>
    </xf>
    <xf numFmtId="0" fontId="27" fillId="0" borderId="1" xfId="0" applyFont="1" applyBorder="1" applyAlignment="1">
      <alignment horizontal="center" vertical="center" wrapText="1" readingOrder="2"/>
    </xf>
    <xf numFmtId="0" fontId="27" fillId="0" borderId="25" xfId="0" applyFont="1" applyBorder="1" applyAlignment="1">
      <alignment horizontal="center" vertical="center" wrapText="1" readingOrder="2"/>
    </xf>
    <xf numFmtId="0" fontId="27" fillId="0" borderId="38" xfId="0" applyFont="1" applyBorder="1" applyAlignment="1">
      <alignment horizontal="center" vertical="center" wrapText="1" readingOrder="2"/>
    </xf>
    <xf numFmtId="0" fontId="27" fillId="0" borderId="21" xfId="0" applyFont="1" applyBorder="1" applyAlignment="1">
      <alignment horizontal="center" vertical="center" wrapText="1" readingOrder="2"/>
    </xf>
    <xf numFmtId="0" fontId="29" fillId="10" borderId="1" xfId="0" applyFont="1" applyFill="1" applyBorder="1" applyAlignment="1">
      <alignment horizontal="right" vertical="center" wrapText="1" readingOrder="2"/>
    </xf>
    <xf numFmtId="0" fontId="27" fillId="10" borderId="25" xfId="0" applyFont="1" applyFill="1" applyBorder="1" applyAlignment="1">
      <alignment horizontal="center" vertical="center" wrapText="1" readingOrder="2"/>
    </xf>
    <xf numFmtId="0" fontId="27" fillId="10" borderId="38" xfId="0" applyFont="1" applyFill="1" applyBorder="1" applyAlignment="1">
      <alignment horizontal="center" vertical="center" wrapText="1" readingOrder="2"/>
    </xf>
    <xf numFmtId="0" fontId="27" fillId="10" borderId="21" xfId="0" applyFont="1" applyFill="1" applyBorder="1" applyAlignment="1">
      <alignment horizontal="center" vertical="center" wrapText="1" readingOrder="2"/>
    </xf>
    <xf numFmtId="0" fontId="27" fillId="10" borderId="1" xfId="0" applyFont="1" applyFill="1" applyBorder="1" applyAlignment="1">
      <alignment horizontal="center" vertical="center" wrapText="1" readingOrder="2"/>
    </xf>
    <xf numFmtId="0" fontId="23" fillId="7" borderId="0" xfId="0" applyFont="1" applyFill="1" applyAlignment="1">
      <alignment horizontal="center" vertical="center" readingOrder="2"/>
    </xf>
    <xf numFmtId="0" fontId="4" fillId="12" borderId="1" xfId="0" applyFont="1" applyFill="1" applyBorder="1" applyAlignment="1">
      <alignment horizontal="center"/>
    </xf>
    <xf numFmtId="167" fontId="34" fillId="12" borderId="1" xfId="0" applyNumberFormat="1" applyFont="1" applyFill="1" applyBorder="1" applyAlignment="1">
      <alignment horizontal="center"/>
    </xf>
    <xf numFmtId="0" fontId="33" fillId="11" borderId="0" xfId="0" applyFont="1" applyFill="1" applyBorder="1" applyAlignment="1">
      <alignment horizontal="center" vertical="center" wrapText="1"/>
    </xf>
    <xf numFmtId="0" fontId="33" fillId="11" borderId="3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83608</xdr:colOff>
      <xdr:row>3</xdr:row>
      <xdr:rowOff>190499</xdr:rowOff>
    </xdr:from>
    <xdr:to>
      <xdr:col>15</xdr:col>
      <xdr:colOff>311150</xdr:colOff>
      <xdr:row>8</xdr:row>
      <xdr:rowOff>114299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BB3DE8-5BFD-92B0-E3E4-86BAE6A9BD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2" t="14566" r="25166" b="50475"/>
        <a:stretch/>
      </xdr:blipFill>
      <xdr:spPr>
        <a:xfrm>
          <a:off x="9666401800" y="1133474"/>
          <a:ext cx="4970992" cy="2200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30480</xdr:colOff>
      <xdr:row>13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6C5B0A-485E-4D0C-AB7C-FBA23BFD2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7389820" y="4676775"/>
          <a:ext cx="304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45720</xdr:colOff>
      <xdr:row>12</xdr:row>
      <xdr:rowOff>464820</xdr:rowOff>
    </xdr:from>
    <xdr:to>
      <xdr:col>4</xdr:col>
      <xdr:colOff>1264920</xdr:colOff>
      <xdr:row>14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A0E55A-02E9-49A0-93B1-72929A1E2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0364180" y="4636770"/>
          <a:ext cx="26860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470647</xdr:colOff>
      <xdr:row>4</xdr:row>
      <xdr:rowOff>36998</xdr:rowOff>
    </xdr:from>
    <xdr:to>
      <xdr:col>20</xdr:col>
      <xdr:colOff>537884</xdr:colOff>
      <xdr:row>10</xdr:row>
      <xdr:rowOff>104028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96B4F4-3DDF-7992-C08C-7EAD121779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840" t="19087" r="12908" b="50975"/>
        <a:stretch/>
      </xdr:blipFill>
      <xdr:spPr>
        <a:xfrm>
          <a:off x="9718043733" y="1717880"/>
          <a:ext cx="7978590" cy="2095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6:D24"/>
  <sheetViews>
    <sheetView rightToLeft="1" topLeftCell="A10" workbookViewId="0">
      <selection activeCell="E17" sqref="E17"/>
    </sheetView>
  </sheetViews>
  <sheetFormatPr defaultRowHeight="15"/>
  <cols>
    <col min="1" max="1" width="6.140625" customWidth="1"/>
    <col min="2" max="2" width="11.42578125" customWidth="1"/>
    <col min="4" max="4" width="64.85546875" bestFit="1" customWidth="1"/>
  </cols>
  <sheetData>
    <row r="6" spans="2:4" ht="22.5">
      <c r="D6" s="2" t="s">
        <v>92</v>
      </c>
    </row>
    <row r="7" spans="2:4" ht="22.5">
      <c r="D7" s="2" t="s">
        <v>91</v>
      </c>
    </row>
    <row r="8" spans="2:4" ht="22.5">
      <c r="D8" s="2" t="s">
        <v>94</v>
      </c>
    </row>
    <row r="9" spans="2:4" ht="22.5">
      <c r="D9" s="2" t="s">
        <v>93</v>
      </c>
    </row>
    <row r="12" spans="2:4" ht="22.5">
      <c r="B12" s="59" t="s">
        <v>97</v>
      </c>
      <c r="C12" s="59">
        <v>2</v>
      </c>
    </row>
    <row r="13" spans="2:4" ht="22.5">
      <c r="B13" s="59" t="s">
        <v>80</v>
      </c>
      <c r="C13" s="59">
        <v>8</v>
      </c>
    </row>
    <row r="14" spans="2:4" ht="22.5">
      <c r="B14" s="59" t="s">
        <v>79</v>
      </c>
      <c r="C14" s="59">
        <v>12</v>
      </c>
    </row>
    <row r="15" spans="2:4" ht="22.5">
      <c r="B15" s="59" t="s">
        <v>98</v>
      </c>
      <c r="C15" s="59">
        <v>16</v>
      </c>
    </row>
    <row r="16" spans="2:4" ht="22.5">
      <c r="B16" s="59" t="s">
        <v>78</v>
      </c>
      <c r="C16" s="59">
        <v>20</v>
      </c>
    </row>
    <row r="17" spans="2:3" ht="18.75">
      <c r="B17" s="61" t="s">
        <v>99</v>
      </c>
      <c r="C17" s="61">
        <v>0</v>
      </c>
    </row>
    <row r="18" spans="2:3" ht="18.75">
      <c r="B18" s="62"/>
      <c r="C18" s="62"/>
    </row>
    <row r="19" spans="2:3" ht="22.5">
      <c r="B19" s="59" t="s">
        <v>97</v>
      </c>
      <c r="C19" s="59">
        <v>3</v>
      </c>
    </row>
    <row r="20" spans="2:3" ht="22.5">
      <c r="B20" s="59" t="s">
        <v>80</v>
      </c>
      <c r="C20" s="59">
        <v>12</v>
      </c>
    </row>
    <row r="21" spans="2:3" ht="22.5">
      <c r="B21" s="59" t="s">
        <v>79</v>
      </c>
      <c r="C21" s="59">
        <v>18</v>
      </c>
    </row>
    <row r="22" spans="2:3" ht="22.5">
      <c r="B22" s="59" t="s">
        <v>98</v>
      </c>
      <c r="C22" s="59">
        <v>24</v>
      </c>
    </row>
    <row r="23" spans="2:3" ht="22.5">
      <c r="B23" s="59" t="s">
        <v>78</v>
      </c>
      <c r="C23" s="59">
        <v>30</v>
      </c>
    </row>
    <row r="24" spans="2:3" ht="18.75">
      <c r="B24" s="61" t="s">
        <v>99</v>
      </c>
      <c r="C24" s="6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BB200-6CD7-43AE-A692-BD2619BF0322}">
  <dimension ref="A1:M50"/>
  <sheetViews>
    <sheetView rightToLeft="1" workbookViewId="0">
      <selection activeCell="D9" sqref="D9"/>
    </sheetView>
  </sheetViews>
  <sheetFormatPr defaultColWidth="8.85546875" defaultRowHeight="22.5"/>
  <cols>
    <col min="1" max="1" width="8.85546875" style="1"/>
    <col min="2" max="2" width="8.85546875" style="1" customWidth="1"/>
    <col min="3" max="3" width="37.7109375" style="1" customWidth="1"/>
    <col min="4" max="4" width="12.7109375" style="1" customWidth="1"/>
    <col min="5" max="5" width="14.7109375" style="1" customWidth="1"/>
    <col min="6" max="9" width="8.85546875" style="1"/>
    <col min="10" max="10" width="12.28515625" style="1" customWidth="1"/>
    <col min="11" max="11" width="25.85546875" style="1" customWidth="1"/>
    <col min="12" max="16384" width="8.85546875" style="1"/>
  </cols>
  <sheetData>
    <row r="1" spans="1:11" ht="29.1" customHeight="1">
      <c r="B1" s="69"/>
      <c r="C1" s="69"/>
      <c r="D1" s="69"/>
      <c r="E1" s="69"/>
      <c r="F1" s="68"/>
      <c r="G1" s="69"/>
      <c r="H1" s="69"/>
      <c r="I1" s="68"/>
    </row>
    <row r="2" spans="1:11" ht="29.1" customHeight="1">
      <c r="B2" s="69"/>
      <c r="C2" s="69"/>
      <c r="D2" s="69"/>
      <c r="E2" s="69"/>
      <c r="F2" s="68"/>
      <c r="G2" s="69"/>
      <c r="H2" s="69"/>
    </row>
    <row r="3" spans="1:11" ht="29.1" customHeight="1">
      <c r="B3" s="69"/>
      <c r="C3" s="69"/>
      <c r="D3" s="69"/>
      <c r="E3" s="69"/>
      <c r="F3" s="68"/>
      <c r="G3" s="69"/>
      <c r="H3" s="69"/>
    </row>
    <row r="4" spans="1:11">
      <c r="A4"/>
      <c r="B4" s="69"/>
      <c r="C4" s="69"/>
      <c r="D4" s="69"/>
      <c r="E4" s="69"/>
      <c r="F4" s="68"/>
      <c r="G4" s="69"/>
      <c r="J4" s="1" t="s">
        <v>126</v>
      </c>
    </row>
    <row r="5" spans="1:11">
      <c r="A5"/>
      <c r="B5" s="69"/>
      <c r="C5" s="69"/>
      <c r="D5" s="69"/>
      <c r="E5" s="69"/>
      <c r="F5" s="68"/>
      <c r="G5" s="69"/>
      <c r="J5" s="147"/>
      <c r="K5" s="147"/>
    </row>
    <row r="6" spans="1:11">
      <c r="A6"/>
      <c r="B6" s="69"/>
      <c r="C6" s="69"/>
      <c r="D6" s="69"/>
      <c r="E6" s="69"/>
      <c r="F6" s="68"/>
      <c r="G6" s="69"/>
      <c r="J6" s="147"/>
      <c r="K6" s="147"/>
    </row>
    <row r="7" spans="1:11">
      <c r="A7"/>
      <c r="B7" s="69"/>
      <c r="C7" s="69"/>
      <c r="D7" s="79" t="s">
        <v>209</v>
      </c>
      <c r="E7" s="79">
        <v>1</v>
      </c>
      <c r="F7" s="68"/>
      <c r="G7" s="69"/>
      <c r="J7" s="147"/>
      <c r="K7" s="147"/>
    </row>
    <row r="8" spans="1:11">
      <c r="A8"/>
      <c r="B8" s="69"/>
      <c r="C8" s="69"/>
      <c r="D8" s="79" t="s">
        <v>210</v>
      </c>
      <c r="E8" s="79">
        <v>0.8</v>
      </c>
      <c r="F8" s="68"/>
      <c r="G8" s="69"/>
      <c r="J8" s="147"/>
      <c r="K8" s="147"/>
    </row>
    <row r="9" spans="1:11">
      <c r="A9"/>
      <c r="B9" s="69"/>
      <c r="C9" s="69"/>
      <c r="D9" s="69"/>
      <c r="E9" s="69"/>
      <c r="F9" s="68"/>
      <c r="G9" s="69"/>
    </row>
    <row r="10" spans="1:11" ht="58.5">
      <c r="A10"/>
      <c r="B10" s="99" t="s">
        <v>54</v>
      </c>
      <c r="C10" s="99" t="s">
        <v>123</v>
      </c>
      <c r="D10" s="99" t="s">
        <v>124</v>
      </c>
      <c r="E10" s="100" t="s">
        <v>125</v>
      </c>
      <c r="F10" s="68"/>
      <c r="G10" s="69"/>
    </row>
    <row r="11" spans="1:11" ht="24">
      <c r="B11" s="58">
        <v>1</v>
      </c>
      <c r="C11" s="101">
        <v>1393</v>
      </c>
      <c r="D11" s="101">
        <v>81.947999999999993</v>
      </c>
      <c r="E11" s="102">
        <f>D20/D11</f>
        <v>10.128374090886904</v>
      </c>
      <c r="F11" s="68"/>
      <c r="G11" s="69"/>
    </row>
    <row r="12" spans="1:11" ht="24">
      <c r="B12" s="58">
        <v>2</v>
      </c>
      <c r="C12" s="101">
        <v>1394</v>
      </c>
      <c r="D12" s="101">
        <v>91.713999999999999</v>
      </c>
      <c r="E12" s="102">
        <f>D20/D12</f>
        <v>9.0498724295091257</v>
      </c>
      <c r="F12" s="68"/>
      <c r="G12" s="69"/>
    </row>
    <row r="13" spans="1:11" ht="22.5" customHeight="1">
      <c r="B13" s="58">
        <v>3</v>
      </c>
      <c r="C13" s="101">
        <v>1395</v>
      </c>
      <c r="D13" s="101">
        <v>100</v>
      </c>
      <c r="E13" s="102">
        <f>D20/D13</f>
        <v>8.3000000000000007</v>
      </c>
      <c r="F13" s="68"/>
      <c r="G13" s="69"/>
    </row>
    <row r="14" spans="1:11" ht="22.5" customHeight="1">
      <c r="B14" s="58">
        <v>4</v>
      </c>
      <c r="C14" s="101">
        <v>1396</v>
      </c>
      <c r="D14" s="101">
        <v>109.6</v>
      </c>
      <c r="E14" s="102">
        <f>D20/D14</f>
        <v>7.5729927007299276</v>
      </c>
      <c r="F14" s="68"/>
      <c r="G14" s="69"/>
    </row>
    <row r="15" spans="1:11" ht="23.25" customHeight="1">
      <c r="B15" s="58">
        <v>5</v>
      </c>
      <c r="C15" s="101">
        <v>1397</v>
      </c>
      <c r="D15" s="101">
        <v>143.84200000000001</v>
      </c>
      <c r="E15" s="102">
        <f>D20/D15</f>
        <v>5.7702201026125879</v>
      </c>
      <c r="F15" s="68"/>
      <c r="G15" s="69"/>
    </row>
    <row r="16" spans="1:11" ht="24">
      <c r="B16" s="58">
        <v>6</v>
      </c>
      <c r="C16" s="101">
        <v>1398</v>
      </c>
      <c r="D16" s="101">
        <v>203.2</v>
      </c>
      <c r="E16" s="102">
        <f>D20/D16</f>
        <v>4.0846456692913389</v>
      </c>
    </row>
    <row r="17" spans="2:13" ht="24">
      <c r="B17" s="58">
        <v>7</v>
      </c>
      <c r="C17" s="101">
        <v>1399</v>
      </c>
      <c r="D17" s="101">
        <v>298.89999999999998</v>
      </c>
      <c r="E17" s="102">
        <f>D20/D17</f>
        <v>2.7768484442957515</v>
      </c>
    </row>
    <row r="18" spans="2:13" ht="24">
      <c r="B18" s="58">
        <v>8</v>
      </c>
      <c r="C18" s="101">
        <v>1400</v>
      </c>
      <c r="D18" s="101">
        <v>437</v>
      </c>
      <c r="E18" s="102">
        <f>D20/D18</f>
        <v>1.8993135011441649</v>
      </c>
    </row>
    <row r="19" spans="2:13" ht="24">
      <c r="B19" s="58">
        <v>9</v>
      </c>
      <c r="C19" s="101">
        <v>1401</v>
      </c>
      <c r="D19" s="101">
        <v>640</v>
      </c>
      <c r="E19" s="102">
        <f>D20/D19</f>
        <v>1.296875</v>
      </c>
    </row>
    <row r="20" spans="2:13" ht="24">
      <c r="B20" s="58">
        <v>10</v>
      </c>
      <c r="C20" s="101">
        <v>1402</v>
      </c>
      <c r="D20" s="101">
        <v>830</v>
      </c>
      <c r="E20" s="102">
        <f>D20/D20</f>
        <v>1</v>
      </c>
    </row>
    <row r="24" spans="2:13" ht="24">
      <c r="I24" s="54" t="s">
        <v>129</v>
      </c>
      <c r="J24" s="17">
        <v>2</v>
      </c>
    </row>
    <row r="25" spans="2:13" ht="24">
      <c r="I25" s="55" t="s">
        <v>130</v>
      </c>
      <c r="J25" s="17">
        <v>5</v>
      </c>
    </row>
    <row r="26" spans="2:13" ht="48">
      <c r="I26" s="55" t="s">
        <v>131</v>
      </c>
      <c r="J26" s="17">
        <v>15</v>
      </c>
    </row>
    <row r="27" spans="2:13" ht="48.75" thickBot="1">
      <c r="I27" s="18" t="s">
        <v>132</v>
      </c>
      <c r="J27" s="20">
        <v>30</v>
      </c>
    </row>
    <row r="28" spans="2:13">
      <c r="I28" s="1">
        <v>0</v>
      </c>
      <c r="J28" s="1">
        <v>0</v>
      </c>
    </row>
    <row r="29" spans="2:13" ht="117">
      <c r="L29" s="21" t="s">
        <v>133</v>
      </c>
      <c r="M29" s="17">
        <v>7</v>
      </c>
    </row>
    <row r="30" spans="2:13" ht="24.75" thickBot="1">
      <c r="H30" s="109" t="s">
        <v>134</v>
      </c>
      <c r="I30" s="107">
        <v>5</v>
      </c>
      <c r="L30" s="18"/>
      <c r="M30" s="20"/>
    </row>
    <row r="31" spans="2:13">
      <c r="H31" s="109" t="s">
        <v>135</v>
      </c>
      <c r="I31" s="107">
        <v>2.5</v>
      </c>
      <c r="L31" s="1">
        <v>0</v>
      </c>
      <c r="M31" s="1">
        <v>0</v>
      </c>
    </row>
    <row r="32" spans="2:13">
      <c r="H32"/>
      <c r="I32"/>
    </row>
    <row r="33" spans="8:13">
      <c r="H33"/>
      <c r="I33"/>
    </row>
    <row r="35" spans="8:13">
      <c r="H35" s="110" t="s">
        <v>136</v>
      </c>
      <c r="I35" s="2">
        <v>1</v>
      </c>
    </row>
    <row r="36" spans="8:13">
      <c r="H36" s="110" t="s">
        <v>137</v>
      </c>
      <c r="I36" s="2">
        <v>0.8</v>
      </c>
    </row>
    <row r="37" spans="8:13">
      <c r="H37" s="110" t="s">
        <v>138</v>
      </c>
      <c r="I37" s="2">
        <v>1</v>
      </c>
    </row>
    <row r="38" spans="8:13">
      <c r="H38" s="1">
        <v>0</v>
      </c>
      <c r="I38" s="1">
        <v>0</v>
      </c>
    </row>
    <row r="39" spans="8:13" ht="97.5">
      <c r="L39" s="50" t="s">
        <v>201</v>
      </c>
      <c r="M39" s="50" t="s">
        <v>37</v>
      </c>
    </row>
    <row r="40" spans="8:13">
      <c r="L40" s="50">
        <v>1</v>
      </c>
      <c r="M40" s="50">
        <f>M41*L40/L41</f>
        <v>2.5</v>
      </c>
    </row>
    <row r="41" spans="8:13">
      <c r="L41" s="126">
        <v>2</v>
      </c>
      <c r="M41" s="50">
        <v>5</v>
      </c>
    </row>
    <row r="42" spans="8:13">
      <c r="L42" s="126">
        <v>3</v>
      </c>
      <c r="M42" s="50">
        <f>M41*L42/L41</f>
        <v>7.5</v>
      </c>
    </row>
    <row r="43" spans="8:13">
      <c r="L43" s="126">
        <v>4</v>
      </c>
      <c r="M43" s="133">
        <f>M42*L43/L42</f>
        <v>10</v>
      </c>
    </row>
    <row r="44" spans="8:13">
      <c r="L44" s="126">
        <v>5</v>
      </c>
      <c r="M44" s="50">
        <v>10</v>
      </c>
    </row>
    <row r="45" spans="8:13">
      <c r="L45" s="126">
        <v>6</v>
      </c>
      <c r="M45" s="50">
        <f>M44*L45/L44</f>
        <v>12</v>
      </c>
    </row>
    <row r="46" spans="8:13">
      <c r="L46" s="126">
        <v>7</v>
      </c>
      <c r="M46" s="50">
        <f>M45*L46/L45</f>
        <v>14</v>
      </c>
    </row>
    <row r="47" spans="8:13">
      <c r="L47" s="126">
        <v>8</v>
      </c>
      <c r="M47" s="50">
        <v>15</v>
      </c>
    </row>
    <row r="48" spans="8:13">
      <c r="L48" s="126">
        <v>9</v>
      </c>
      <c r="M48" s="50">
        <v>15</v>
      </c>
    </row>
    <row r="49" spans="12:13">
      <c r="L49" s="126">
        <v>10</v>
      </c>
      <c r="M49" s="50">
        <v>20</v>
      </c>
    </row>
    <row r="50" spans="12:13">
      <c r="L50" s="1">
        <v>0</v>
      </c>
      <c r="M50" s="1">
        <v>0</v>
      </c>
    </row>
  </sheetData>
  <sheetProtection algorithmName="SHA-512" hashValue="LuD61fxhkGhu1aPR9AU0Bs372qoMtCxKE+9J1FOWtTBdt+mfA2GZZlsmNQDfvycgC9fbJ08LdX+/qUwy9AdXQw==" saltValue="Q1s80mRvOVJTMZCRCYoXyQ==" spinCount="100000" sheet="1" objects="1" scenarios="1"/>
  <mergeCells count="4">
    <mergeCell ref="J5:K5"/>
    <mergeCell ref="J6:K6"/>
    <mergeCell ref="J7:K7"/>
    <mergeCell ref="J8:K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5"/>
  <sheetViews>
    <sheetView rightToLeft="1" workbookViewId="0">
      <selection activeCell="F9" sqref="F9:G9"/>
    </sheetView>
  </sheetViews>
  <sheetFormatPr defaultColWidth="8.85546875" defaultRowHeight="22.5"/>
  <cols>
    <col min="1" max="1" width="8.85546875" style="1"/>
    <col min="2" max="2" width="8.85546875" style="1" customWidth="1"/>
    <col min="3" max="3" width="37.7109375" style="1" customWidth="1"/>
    <col min="4" max="4" width="12.7109375" style="1" customWidth="1"/>
    <col min="5" max="5" width="14.7109375" style="1" customWidth="1"/>
    <col min="6" max="6" width="11.28515625" style="1" customWidth="1"/>
    <col min="7" max="7" width="12.28515625" style="1" customWidth="1"/>
    <col min="8" max="8" width="7.140625" style="1" customWidth="1"/>
    <col min="9" max="16384" width="8.85546875" style="1"/>
  </cols>
  <sheetData>
    <row r="1" spans="1:8" ht="29.1" customHeight="1">
      <c r="B1" s="70"/>
      <c r="C1" s="70"/>
      <c r="D1" s="70"/>
      <c r="E1" s="70"/>
      <c r="F1" s="70"/>
      <c r="G1" s="69"/>
      <c r="H1" s="69"/>
    </row>
    <row r="2" spans="1:8" ht="26.25">
      <c r="A2"/>
      <c r="B2" s="148" t="s">
        <v>101</v>
      </c>
      <c r="C2" s="148"/>
      <c r="D2" s="148"/>
      <c r="E2" s="148"/>
      <c r="F2" s="148"/>
      <c r="G2" s="148"/>
    </row>
    <row r="3" spans="1:8" ht="23.25" thickBot="1">
      <c r="A3"/>
    </row>
    <row r="4" spans="1:8" ht="48.75" thickBot="1">
      <c r="A4"/>
      <c r="B4" s="26" t="s">
        <v>54</v>
      </c>
      <c r="C4" s="76" t="s">
        <v>58</v>
      </c>
      <c r="D4" s="77" t="s">
        <v>55</v>
      </c>
      <c r="E4" s="78" t="s">
        <v>56</v>
      </c>
      <c r="F4" s="149" t="s">
        <v>57</v>
      </c>
      <c r="G4" s="150"/>
    </row>
    <row r="5" spans="1:8">
      <c r="A5"/>
      <c r="B5" s="72">
        <v>1</v>
      </c>
      <c r="C5" s="73" t="s">
        <v>103</v>
      </c>
      <c r="D5" s="74"/>
      <c r="E5" s="75">
        <v>20</v>
      </c>
      <c r="F5" s="151"/>
      <c r="G5" s="151"/>
    </row>
    <row r="6" spans="1:8" ht="45">
      <c r="A6"/>
      <c r="B6" s="72">
        <v>2</v>
      </c>
      <c r="C6" s="73" t="s">
        <v>102</v>
      </c>
      <c r="D6" s="74"/>
      <c r="E6" s="80">
        <v>30</v>
      </c>
      <c r="F6" s="151" t="str">
        <f>IF(D6&gt;=15,"تایید","مردود")</f>
        <v>مردود</v>
      </c>
      <c r="G6" s="151"/>
    </row>
    <row r="7" spans="1:8">
      <c r="A7"/>
      <c r="B7" s="27">
        <v>3</v>
      </c>
      <c r="C7" s="7" t="s">
        <v>50</v>
      </c>
      <c r="D7" s="32"/>
      <c r="E7" s="28">
        <v>20</v>
      </c>
      <c r="F7" s="151"/>
      <c r="G7" s="151"/>
    </row>
    <row r="8" spans="1:8">
      <c r="A8"/>
      <c r="B8" s="27">
        <v>4</v>
      </c>
      <c r="C8" s="7" t="s">
        <v>104</v>
      </c>
      <c r="D8" s="32"/>
      <c r="E8" s="81">
        <v>15</v>
      </c>
      <c r="F8" s="151"/>
      <c r="G8" s="151"/>
    </row>
    <row r="9" spans="1:8">
      <c r="A9"/>
      <c r="B9" s="71">
        <v>5</v>
      </c>
      <c r="C9" s="7" t="s">
        <v>51</v>
      </c>
      <c r="D9" s="33"/>
      <c r="E9" s="28">
        <v>15</v>
      </c>
      <c r="F9" s="151" t="str">
        <f>IF(D9&gt;=7.5,"تایید","مردود")</f>
        <v>مردود</v>
      </c>
      <c r="G9" s="151"/>
    </row>
    <row r="10" spans="1:8" ht="24.75" thickBot="1">
      <c r="A10"/>
      <c r="B10" s="158" t="s">
        <v>53</v>
      </c>
      <c r="C10" s="159"/>
      <c r="D10" s="30">
        <f>SUM(D5:D9)</f>
        <v>0</v>
      </c>
      <c r="E10" s="31"/>
      <c r="F10" s="160" t="str">
        <f>IF(D10&lt;60," مردود",IF(F7="مردود","مردود",IF(F9="مردود","مردود","تایید")))</f>
        <v xml:space="preserve"> مردود</v>
      </c>
      <c r="G10" s="161"/>
    </row>
    <row r="12" spans="1:8" ht="24.75" thickBot="1">
      <c r="B12" s="60" t="s">
        <v>95</v>
      </c>
    </row>
    <row r="13" spans="1:8">
      <c r="B13" s="152" t="s">
        <v>96</v>
      </c>
      <c r="C13" s="153"/>
    </row>
    <row r="14" spans="1:8">
      <c r="B14" s="154"/>
      <c r="C14" s="155"/>
    </row>
    <row r="15" spans="1:8" ht="23.25" thickBot="1">
      <c r="B15" s="156"/>
      <c r="C15" s="157"/>
    </row>
  </sheetData>
  <sheetProtection algorithmName="SHA-512" hashValue="pWehVmF75ZgSKvWze7TC7xdaXip1Fx3jFfASjv/rjdTnB6ZvdtITkuDUtkKXiydASQ1MXoQYTWQVHfmHq29UYw==" saltValue="sSSN3OrHjvAR9cOSrkPdIQ==" spinCount="100000" sheet="1" objects="1" scenarios="1"/>
  <protectedRanges>
    <protectedRange sqref="D10" name="Range2"/>
    <protectedRange sqref="D5:D9" name="Range1"/>
  </protectedRanges>
  <mergeCells count="10">
    <mergeCell ref="B2:G2"/>
    <mergeCell ref="F4:G4"/>
    <mergeCell ref="F5:G5"/>
    <mergeCell ref="B13:C15"/>
    <mergeCell ref="B10:C10"/>
    <mergeCell ref="F10:G10"/>
    <mergeCell ref="F7:G7"/>
    <mergeCell ref="F9:G9"/>
    <mergeCell ref="F8:G8"/>
    <mergeCell ref="F6:G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6034B-38CF-4CB3-9E7F-3E237E6D3C43}">
  <dimension ref="A1:G18"/>
  <sheetViews>
    <sheetView rightToLeft="1" topLeftCell="A12" workbookViewId="0">
      <selection activeCell="I7" sqref="I7"/>
    </sheetView>
  </sheetViews>
  <sheetFormatPr defaultColWidth="8.85546875" defaultRowHeight="22.5"/>
  <cols>
    <col min="1" max="1" width="3" style="1" customWidth="1"/>
    <col min="2" max="2" width="70.140625" style="1" customWidth="1"/>
    <col min="3" max="3" width="23.7109375" style="1" customWidth="1"/>
    <col min="4" max="4" width="14.7109375" style="1" customWidth="1"/>
    <col min="5" max="5" width="19.42578125" style="1" customWidth="1"/>
    <col min="6" max="6" width="13.28515625" style="1" customWidth="1"/>
    <col min="7" max="16384" width="8.85546875" style="1"/>
  </cols>
  <sheetData>
    <row r="1" spans="1:7" ht="26.25">
      <c r="A1" s="25"/>
      <c r="B1" s="167" t="s">
        <v>0</v>
      </c>
      <c r="C1" s="167"/>
      <c r="D1" s="167"/>
      <c r="E1" s="167"/>
      <c r="F1" s="167"/>
      <c r="G1" s="25"/>
    </row>
    <row r="2" spans="1:7">
      <c r="B2" s="2" t="s">
        <v>1</v>
      </c>
      <c r="C2" s="163"/>
      <c r="D2" s="163"/>
      <c r="E2" s="163"/>
      <c r="F2" s="163"/>
    </row>
    <row r="3" spans="1:7">
      <c r="B3" s="3" t="s">
        <v>2</v>
      </c>
      <c r="C3" s="163"/>
      <c r="D3" s="163"/>
      <c r="E3" s="163"/>
      <c r="F3" s="163"/>
    </row>
    <row r="4" spans="1:7">
      <c r="B4" s="3" t="s">
        <v>3</v>
      </c>
      <c r="C4" s="163"/>
      <c r="D4" s="163"/>
      <c r="E4" s="163"/>
      <c r="F4" s="163"/>
    </row>
    <row r="5" spans="1:7">
      <c r="B5" s="3" t="s">
        <v>4</v>
      </c>
      <c r="C5" s="163"/>
      <c r="D5" s="163"/>
      <c r="E5" s="163"/>
      <c r="F5" s="163"/>
    </row>
    <row r="6" spans="1:7">
      <c r="B6" s="3" t="s">
        <v>5</v>
      </c>
      <c r="C6" s="163"/>
      <c r="D6" s="163"/>
      <c r="E6" s="163"/>
      <c r="F6" s="163"/>
    </row>
    <row r="7" spans="1:7">
      <c r="B7" s="3" t="s">
        <v>6</v>
      </c>
      <c r="C7" s="163"/>
      <c r="D7" s="163"/>
      <c r="E7" s="163"/>
      <c r="F7" s="163"/>
    </row>
    <row r="8" spans="1:7">
      <c r="B8" s="3" t="s">
        <v>17</v>
      </c>
      <c r="C8" s="163"/>
      <c r="D8" s="163"/>
      <c r="E8" s="163"/>
      <c r="F8" s="163"/>
    </row>
    <row r="9" spans="1:7" ht="45">
      <c r="B9" s="3" t="s">
        <v>7</v>
      </c>
      <c r="C9" s="163"/>
      <c r="D9" s="163"/>
      <c r="E9" s="163"/>
      <c r="F9" s="163"/>
    </row>
    <row r="10" spans="1:7">
      <c r="B10" s="3" t="s">
        <v>8</v>
      </c>
      <c r="C10" s="163"/>
      <c r="D10" s="163"/>
      <c r="E10" s="163"/>
      <c r="F10" s="163"/>
    </row>
    <row r="11" spans="1:7" ht="45">
      <c r="B11" s="4" t="s">
        <v>9</v>
      </c>
      <c r="C11" s="163"/>
      <c r="D11" s="163"/>
      <c r="E11" s="163"/>
      <c r="F11" s="163"/>
    </row>
    <row r="12" spans="1:7" ht="33" customHeight="1">
      <c r="B12" s="166" t="s">
        <v>10</v>
      </c>
      <c r="C12" s="3" t="s">
        <v>11</v>
      </c>
      <c r="D12" s="63"/>
      <c r="E12" s="3" t="s">
        <v>13</v>
      </c>
      <c r="F12" s="63"/>
    </row>
    <row r="13" spans="1:7" ht="33" customHeight="1">
      <c r="B13" s="166"/>
      <c r="C13" s="3" t="s">
        <v>12</v>
      </c>
      <c r="D13" s="63"/>
      <c r="E13" s="3" t="s">
        <v>14</v>
      </c>
      <c r="F13" s="63"/>
    </row>
    <row r="14" spans="1:7" ht="33" customHeight="1">
      <c r="B14" s="162" t="s">
        <v>15</v>
      </c>
      <c r="C14" s="3" t="s">
        <v>11</v>
      </c>
      <c r="D14" s="63"/>
      <c r="E14" s="3" t="s">
        <v>13</v>
      </c>
      <c r="F14" s="63"/>
    </row>
    <row r="15" spans="1:7" ht="33" customHeight="1">
      <c r="B15" s="162"/>
      <c r="C15" s="3" t="s">
        <v>16</v>
      </c>
      <c r="D15" s="63"/>
      <c r="E15" s="3" t="s">
        <v>14</v>
      </c>
      <c r="F15" s="63"/>
    </row>
    <row r="16" spans="1:7">
      <c r="B16" s="5" t="s">
        <v>18</v>
      </c>
      <c r="C16" s="163"/>
      <c r="D16" s="163"/>
      <c r="E16" s="163"/>
      <c r="F16" s="163"/>
    </row>
    <row r="17" spans="2:6" ht="58.5" customHeight="1">
      <c r="B17" s="64" t="s">
        <v>19</v>
      </c>
      <c r="C17" s="163"/>
      <c r="D17" s="163"/>
      <c r="E17" s="163"/>
      <c r="F17" s="163"/>
    </row>
    <row r="18" spans="2:6" ht="66.75" customHeight="1">
      <c r="B18" s="57" t="s">
        <v>88</v>
      </c>
      <c r="C18" s="164" t="s">
        <v>89</v>
      </c>
      <c r="D18" s="165"/>
      <c r="E18" s="165"/>
      <c r="F18" s="165"/>
    </row>
  </sheetData>
  <mergeCells count="16">
    <mergeCell ref="C6:F6"/>
    <mergeCell ref="B1:F1"/>
    <mergeCell ref="C2:F2"/>
    <mergeCell ref="C3:F3"/>
    <mergeCell ref="C4:F4"/>
    <mergeCell ref="C5:F5"/>
    <mergeCell ref="B14:B15"/>
    <mergeCell ref="C16:F16"/>
    <mergeCell ref="C17:F17"/>
    <mergeCell ref="C18:F18"/>
    <mergeCell ref="C7:F7"/>
    <mergeCell ref="C8:F8"/>
    <mergeCell ref="C9:F9"/>
    <mergeCell ref="C10:F10"/>
    <mergeCell ref="C11:F11"/>
    <mergeCell ref="B12:B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30"/>
  <sheetViews>
    <sheetView rightToLeft="1" zoomScale="90" zoomScaleNormal="90" workbookViewId="0">
      <selection activeCell="E29" sqref="E29:F29"/>
    </sheetView>
  </sheetViews>
  <sheetFormatPr defaultColWidth="8.85546875" defaultRowHeight="22.5"/>
  <cols>
    <col min="1" max="1" width="10" style="1" bestFit="1" customWidth="1"/>
    <col min="2" max="2" width="70.140625" style="1" customWidth="1"/>
    <col min="3" max="3" width="23.7109375" style="1" customWidth="1"/>
    <col min="4" max="4" width="23.42578125" style="1" customWidth="1"/>
    <col min="5" max="5" width="23.140625" style="1" customWidth="1"/>
    <col min="6" max="6" width="16.28515625" style="1" customWidth="1"/>
    <col min="7" max="9" width="8.85546875" style="1"/>
    <col min="10" max="10" width="17.28515625" style="1" bestFit="1" customWidth="1"/>
    <col min="11" max="11" width="8.85546875" style="1"/>
    <col min="12" max="12" width="9.5703125" style="1" customWidth="1"/>
    <col min="13" max="16384" width="8.85546875" style="1"/>
  </cols>
  <sheetData>
    <row r="1" spans="1:12" ht="26.25">
      <c r="A1" s="171" t="s">
        <v>206</v>
      </c>
      <c r="B1" s="171"/>
      <c r="C1" s="171"/>
      <c r="D1" s="171"/>
      <c r="E1" s="171"/>
      <c r="F1" s="171"/>
    </row>
    <row r="2" spans="1:12" ht="23.25" thickBot="1">
      <c r="A2" s="83" t="s">
        <v>105</v>
      </c>
      <c r="B2" s="69"/>
      <c r="C2" s="69"/>
      <c r="D2" s="69"/>
      <c r="E2" s="69"/>
      <c r="F2" s="69"/>
      <c r="J2" s="124">
        <v>28500000000</v>
      </c>
      <c r="K2" s="168" t="s">
        <v>193</v>
      </c>
      <c r="L2" s="169"/>
    </row>
    <row r="3" spans="1:12" ht="24.75" thickBot="1">
      <c r="A3" s="26" t="s">
        <v>106</v>
      </c>
      <c r="B3" s="26" t="s">
        <v>107</v>
      </c>
      <c r="C3" s="84" t="s">
        <v>108</v>
      </c>
      <c r="D3" s="84" t="s">
        <v>109</v>
      </c>
      <c r="E3" s="85" t="s">
        <v>37</v>
      </c>
      <c r="F3" s="84" t="s">
        <v>57</v>
      </c>
      <c r="J3" s="105"/>
    </row>
    <row r="4" spans="1:12" ht="51.75" customHeight="1">
      <c r="A4" s="86" t="s">
        <v>110</v>
      </c>
      <c r="B4" s="87" t="s">
        <v>111</v>
      </c>
      <c r="C4" s="88" t="e">
        <f>B29</f>
        <v>#DIV/0!</v>
      </c>
      <c r="D4" s="89" t="e">
        <f>C4*100</f>
        <v>#DIV/0!</v>
      </c>
      <c r="E4" s="172" t="e">
        <f>IF(D8=0,پایه!M50,VLOOKUP(D8,پایه!L40:M49,2,TRUE))</f>
        <v>#DIV/0!</v>
      </c>
      <c r="F4" s="90"/>
    </row>
    <row r="5" spans="1:12" ht="40.5">
      <c r="A5" s="91" t="s">
        <v>112</v>
      </c>
      <c r="B5" s="92" t="s">
        <v>113</v>
      </c>
      <c r="C5" s="93"/>
      <c r="D5" s="89">
        <f>C5*0.25</f>
        <v>0</v>
      </c>
      <c r="E5" s="173"/>
      <c r="F5" s="94"/>
    </row>
    <row r="6" spans="1:12">
      <c r="A6" s="91" t="s">
        <v>114</v>
      </c>
      <c r="B6" s="92" t="s">
        <v>115</v>
      </c>
      <c r="C6" s="93"/>
      <c r="D6" s="89">
        <f>C6*0.1</f>
        <v>0</v>
      </c>
      <c r="E6" s="173"/>
      <c r="F6" s="94"/>
    </row>
    <row r="7" spans="1:12" ht="40.5">
      <c r="A7" s="91" t="s">
        <v>116</v>
      </c>
      <c r="B7" s="95" t="s">
        <v>117</v>
      </c>
      <c r="C7" s="96"/>
      <c r="D7" s="89">
        <f>C7</f>
        <v>0</v>
      </c>
      <c r="E7" s="173"/>
      <c r="F7" s="90"/>
    </row>
    <row r="8" spans="1:12" ht="24">
      <c r="A8" s="175" t="s">
        <v>204</v>
      </c>
      <c r="B8" s="175"/>
      <c r="C8" s="175"/>
      <c r="D8" s="106" t="e">
        <f>ROUND(MAX(D4:D7)/J2,0)</f>
        <v>#DIV/0!</v>
      </c>
      <c r="E8" s="174"/>
      <c r="F8" s="97"/>
    </row>
    <row r="9" spans="1:12" ht="24">
      <c r="E9" s="132" t="e">
        <f>E4</f>
        <v>#DIV/0!</v>
      </c>
      <c r="F9" s="131" t="s">
        <v>194</v>
      </c>
    </row>
    <row r="12" spans="1:12">
      <c r="B12" s="82" t="s">
        <v>118</v>
      </c>
      <c r="C12" s="58" t="s">
        <v>119</v>
      </c>
      <c r="D12" s="82" t="s">
        <v>120</v>
      </c>
      <c r="E12" s="82" t="s">
        <v>121</v>
      </c>
    </row>
    <row r="13" spans="1:12">
      <c r="B13" s="58">
        <v>1393</v>
      </c>
      <c r="C13" s="103"/>
      <c r="D13" s="98">
        <f>پایه!E11</f>
        <v>10.128374090886904</v>
      </c>
      <c r="E13" s="104">
        <f t="shared" ref="E13:E22" si="0">D13*C13</f>
        <v>0</v>
      </c>
    </row>
    <row r="14" spans="1:12">
      <c r="B14" s="58">
        <v>1394</v>
      </c>
      <c r="C14" s="103"/>
      <c r="D14" s="98">
        <f>پایه!E12</f>
        <v>9.0498724295091257</v>
      </c>
      <c r="E14" s="104">
        <f t="shared" si="0"/>
        <v>0</v>
      </c>
    </row>
    <row r="15" spans="1:12">
      <c r="B15" s="58">
        <v>1395</v>
      </c>
      <c r="C15" s="103"/>
      <c r="D15" s="98">
        <f>پایه!E13</f>
        <v>8.3000000000000007</v>
      </c>
      <c r="E15" s="104">
        <f t="shared" si="0"/>
        <v>0</v>
      </c>
    </row>
    <row r="16" spans="1:12">
      <c r="B16" s="58">
        <v>1396</v>
      </c>
      <c r="C16" s="103"/>
      <c r="D16" s="98">
        <f>پایه!E14</f>
        <v>7.5729927007299276</v>
      </c>
      <c r="E16" s="104">
        <f t="shared" si="0"/>
        <v>0</v>
      </c>
    </row>
    <row r="17" spans="1:6">
      <c r="B17" s="58">
        <v>1397</v>
      </c>
      <c r="C17" s="103"/>
      <c r="D17" s="98">
        <f>پایه!E15</f>
        <v>5.7702201026125879</v>
      </c>
      <c r="E17" s="104">
        <f t="shared" si="0"/>
        <v>0</v>
      </c>
    </row>
    <row r="18" spans="1:6">
      <c r="B18" s="58">
        <v>1398</v>
      </c>
      <c r="C18" s="103"/>
      <c r="D18" s="98">
        <f>پایه!E16</f>
        <v>4.0846456692913389</v>
      </c>
      <c r="E18" s="104">
        <f t="shared" si="0"/>
        <v>0</v>
      </c>
    </row>
    <row r="19" spans="1:6">
      <c r="B19" s="58">
        <v>1399</v>
      </c>
      <c r="C19" s="103"/>
      <c r="D19" s="98">
        <f>پایه!E17</f>
        <v>2.7768484442957515</v>
      </c>
      <c r="E19" s="104">
        <f t="shared" si="0"/>
        <v>0</v>
      </c>
    </row>
    <row r="20" spans="1:6">
      <c r="B20" s="58">
        <v>1400</v>
      </c>
      <c r="C20" s="103"/>
      <c r="D20" s="98">
        <f>پایه!E18</f>
        <v>1.8993135011441649</v>
      </c>
      <c r="E20" s="104">
        <f t="shared" si="0"/>
        <v>0</v>
      </c>
    </row>
    <row r="21" spans="1:6">
      <c r="B21" s="58">
        <v>1401</v>
      </c>
      <c r="C21" s="103"/>
      <c r="D21" s="98">
        <f>پایه!E19</f>
        <v>1.296875</v>
      </c>
      <c r="E21" s="104">
        <f t="shared" si="0"/>
        <v>0</v>
      </c>
    </row>
    <row r="22" spans="1:6">
      <c r="B22" s="58">
        <v>1402</v>
      </c>
      <c r="C22" s="103"/>
      <c r="D22" s="98">
        <f>پایه!E20</f>
        <v>1</v>
      </c>
      <c r="E22" s="104">
        <f t="shared" si="0"/>
        <v>0</v>
      </c>
    </row>
    <row r="23" spans="1:6" ht="24">
      <c r="B23" s="176" t="s">
        <v>122</v>
      </c>
      <c r="C23" s="177"/>
      <c r="D23" s="177"/>
      <c r="E23" s="178"/>
      <c r="F23" s="130">
        <f>SUM(E13:E22)</f>
        <v>0</v>
      </c>
    </row>
    <row r="28" spans="1:6">
      <c r="A28" s="127"/>
      <c r="B28" s="129" t="s">
        <v>203</v>
      </c>
      <c r="C28" s="127"/>
      <c r="D28" s="127"/>
      <c r="E28" s="170" t="s">
        <v>202</v>
      </c>
      <c r="F28" s="170"/>
    </row>
    <row r="29" spans="1:6">
      <c r="B29" s="128" t="e">
        <f>F23/E29</f>
        <v>#DIV/0!</v>
      </c>
      <c r="C29" s="127"/>
      <c r="E29" s="162">
        <f>COUNTIF(E13:E22,"&gt;0")</f>
        <v>0</v>
      </c>
      <c r="F29" s="162"/>
    </row>
    <row r="30" spans="1:6">
      <c r="C30" s="127"/>
    </row>
  </sheetData>
  <sheetProtection algorithmName="SHA-512" hashValue="jnnWNMUKsDH9rN1/9m4u0kxYErUGrnw+GyXcdvnwKWU8XxZSUN7hLC4QLl/sFxz4A+BjLFwe9oUPhT5FRrzHgQ==" saltValue="Sm1pvhAWrAtYfw5nYJ31LA==" spinCount="100000" sheet="1" objects="1" scenarios="1"/>
  <mergeCells count="7">
    <mergeCell ref="K2:L2"/>
    <mergeCell ref="E28:F28"/>
    <mergeCell ref="E29:F29"/>
    <mergeCell ref="A1:F1"/>
    <mergeCell ref="E4:E8"/>
    <mergeCell ref="A8:C8"/>
    <mergeCell ref="B23:E2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N58"/>
  <sheetViews>
    <sheetView rightToLeft="1" topLeftCell="A43" zoomScale="80" zoomScaleNormal="80" workbookViewId="0">
      <selection activeCell="N38" sqref="N38"/>
    </sheetView>
  </sheetViews>
  <sheetFormatPr defaultColWidth="8.85546875" defaultRowHeight="22.5"/>
  <cols>
    <col min="1" max="1" width="8.5703125" style="1" customWidth="1"/>
    <col min="2" max="2" width="26.28515625" style="1" customWidth="1"/>
    <col min="3" max="3" width="35.7109375" style="1" customWidth="1"/>
    <col min="4" max="4" width="42.85546875" style="1" customWidth="1"/>
    <col min="5" max="6" width="35.7109375" style="1" customWidth="1"/>
    <col min="7" max="7" width="19.42578125" style="1" customWidth="1"/>
    <col min="8" max="8" width="23.140625" style="1" customWidth="1"/>
    <col min="9" max="9" width="19.42578125" style="1" customWidth="1"/>
    <col min="10" max="10" width="18.7109375" style="1" customWidth="1"/>
    <col min="11" max="11" width="18.28515625" style="1" customWidth="1"/>
    <col min="12" max="12" width="30.7109375" style="1" customWidth="1"/>
    <col min="13" max="13" width="13.85546875" style="1" customWidth="1"/>
    <col min="14" max="14" width="12.7109375" style="1" customWidth="1"/>
    <col min="15" max="16384" width="8.85546875" style="1"/>
  </cols>
  <sheetData>
    <row r="1" spans="2:8" ht="26.25">
      <c r="B1" s="188" t="s">
        <v>196</v>
      </c>
      <c r="C1" s="188"/>
      <c r="D1" s="188"/>
      <c r="E1" s="6"/>
      <c r="F1" s="6"/>
      <c r="G1" s="6"/>
      <c r="H1" s="6"/>
    </row>
    <row r="2" spans="2:8">
      <c r="B2" s="188"/>
      <c r="C2" s="188"/>
      <c r="D2" s="188"/>
    </row>
    <row r="3" spans="2:8" ht="23.25" thickBot="1"/>
    <row r="4" spans="2:8" ht="24">
      <c r="B4" s="8" t="s">
        <v>20</v>
      </c>
      <c r="C4" s="9" t="s">
        <v>21</v>
      </c>
      <c r="D4" s="10" t="s">
        <v>22</v>
      </c>
    </row>
    <row r="5" spans="2:8">
      <c r="B5" s="11">
        <v>1</v>
      </c>
      <c r="C5" s="7" t="s">
        <v>23</v>
      </c>
      <c r="D5" s="12" t="s">
        <v>24</v>
      </c>
    </row>
    <row r="6" spans="2:8" ht="45">
      <c r="B6" s="11">
        <v>2</v>
      </c>
      <c r="C6" s="7" t="s">
        <v>25</v>
      </c>
      <c r="D6" s="12" t="s">
        <v>26</v>
      </c>
    </row>
    <row r="7" spans="2:8" ht="23.25" thickBot="1">
      <c r="B7" s="189" t="s">
        <v>27</v>
      </c>
      <c r="C7" s="190"/>
      <c r="D7" s="191"/>
    </row>
    <row r="9" spans="2:8" ht="26.25">
      <c r="B9" s="192" t="s">
        <v>127</v>
      </c>
      <c r="C9" s="192"/>
      <c r="D9" s="192"/>
      <c r="E9" s="192"/>
    </row>
    <row r="10" spans="2:8" ht="23.25" thickBot="1"/>
    <row r="11" spans="2:8" ht="24.75" thickBot="1">
      <c r="B11" s="181" t="s">
        <v>28</v>
      </c>
      <c r="C11" s="182"/>
      <c r="D11" s="183"/>
    </row>
    <row r="12" spans="2:8" ht="27" customHeight="1" thickBot="1"/>
    <row r="13" spans="2:8" ht="61.9" customHeight="1">
      <c r="B13" s="14" t="s">
        <v>128</v>
      </c>
      <c r="C13" s="15" t="s">
        <v>29</v>
      </c>
      <c r="D13" s="15" t="s">
        <v>22</v>
      </c>
      <c r="E13" s="16" t="s">
        <v>30</v>
      </c>
    </row>
    <row r="14" spans="2:8" ht="39.6" customHeight="1">
      <c r="B14" s="54" t="s">
        <v>129</v>
      </c>
      <c r="C14" s="13">
        <v>2</v>
      </c>
      <c r="D14" s="13">
        <v>5</v>
      </c>
      <c r="E14" s="17">
        <v>10</v>
      </c>
    </row>
    <row r="15" spans="2:8" ht="24">
      <c r="B15" s="55" t="s">
        <v>130</v>
      </c>
      <c r="C15" s="13">
        <v>5</v>
      </c>
      <c r="D15" s="13">
        <v>4</v>
      </c>
      <c r="E15" s="17">
        <v>20</v>
      </c>
    </row>
    <row r="16" spans="2:8" ht="24">
      <c r="B16" s="55" t="s">
        <v>131</v>
      </c>
      <c r="C16" s="13">
        <v>15</v>
      </c>
      <c r="D16" s="13">
        <v>2</v>
      </c>
      <c r="E16" s="17">
        <v>30</v>
      </c>
    </row>
    <row r="17" spans="2:13" ht="24.75" thickBot="1">
      <c r="B17" s="18" t="s">
        <v>132</v>
      </c>
      <c r="C17" s="19">
        <v>30</v>
      </c>
      <c r="D17" s="19">
        <v>1</v>
      </c>
      <c r="E17" s="20">
        <v>30</v>
      </c>
    </row>
    <row r="18" spans="2:13" ht="23.25" thickBot="1"/>
    <row r="19" spans="2:13" ht="24.75" thickBot="1">
      <c r="B19" s="185" t="s">
        <v>32</v>
      </c>
      <c r="C19" s="186"/>
      <c r="D19" s="187"/>
    </row>
    <row r="20" spans="2:13" ht="23.25" thickBot="1"/>
    <row r="21" spans="2:13" ht="24">
      <c r="B21" s="14" t="s">
        <v>33</v>
      </c>
      <c r="C21" s="15" t="s">
        <v>29</v>
      </c>
      <c r="D21" s="15" t="s">
        <v>22</v>
      </c>
      <c r="E21" s="16" t="s">
        <v>30</v>
      </c>
    </row>
    <row r="22" spans="2:13" ht="39">
      <c r="B22" s="21" t="s">
        <v>133</v>
      </c>
      <c r="C22" s="13">
        <v>7</v>
      </c>
      <c r="D22" s="13">
        <v>3</v>
      </c>
      <c r="E22" s="17">
        <v>20</v>
      </c>
    </row>
    <row r="23" spans="2:13" ht="24.75" thickBot="1">
      <c r="B23" s="18" t="s">
        <v>34</v>
      </c>
      <c r="C23" s="19">
        <v>7</v>
      </c>
      <c r="D23" s="19">
        <v>3</v>
      </c>
      <c r="E23" s="20">
        <v>20</v>
      </c>
    </row>
    <row r="24" spans="2:13">
      <c r="B24"/>
      <c r="C24"/>
      <c r="D24"/>
      <c r="E24"/>
    </row>
    <row r="25" spans="2:13" ht="23.25" thickBot="1">
      <c r="B25"/>
      <c r="C25"/>
      <c r="D25"/>
      <c r="E25"/>
    </row>
    <row r="26" spans="2:13" ht="24.75" thickBot="1">
      <c r="B26" s="181" t="s">
        <v>64</v>
      </c>
      <c r="C26" s="182"/>
      <c r="D26" s="183"/>
      <c r="E26"/>
    </row>
    <row r="27" spans="2:13" ht="39">
      <c r="B27" s="34" t="s">
        <v>38</v>
      </c>
      <c r="C27" s="35" t="s">
        <v>44</v>
      </c>
      <c r="D27" s="23" t="s">
        <v>31</v>
      </c>
      <c r="E27" s="23" t="s">
        <v>65</v>
      </c>
      <c r="F27" s="23" t="s">
        <v>45</v>
      </c>
      <c r="G27" s="23" t="s">
        <v>66</v>
      </c>
      <c r="H27" s="23" t="s">
        <v>46</v>
      </c>
      <c r="I27" s="23" t="s">
        <v>47</v>
      </c>
      <c r="J27" s="23" t="s">
        <v>48</v>
      </c>
      <c r="K27" s="23" t="s">
        <v>49</v>
      </c>
      <c r="L27" s="50" t="s">
        <v>37</v>
      </c>
      <c r="M27"/>
    </row>
    <row r="28" spans="2:13" ht="45" customHeight="1">
      <c r="B28" s="24" t="s">
        <v>39</v>
      </c>
      <c r="C28" s="63"/>
      <c r="D28" s="65"/>
      <c r="E28" s="63"/>
      <c r="F28" s="63"/>
      <c r="G28" s="63"/>
      <c r="H28" s="63"/>
      <c r="I28" s="63"/>
      <c r="J28" s="63"/>
      <c r="K28" s="63"/>
      <c r="L28" s="125">
        <f>VLOOKUP(D28,پایه!I24:J28,2,0)</f>
        <v>0</v>
      </c>
      <c r="M28"/>
    </row>
    <row r="29" spans="2:13" ht="45" customHeight="1">
      <c r="B29" s="24" t="s">
        <v>40</v>
      </c>
      <c r="C29" s="63"/>
      <c r="D29" s="65"/>
      <c r="E29" s="63"/>
      <c r="F29" s="63"/>
      <c r="G29" s="63"/>
      <c r="H29" s="63"/>
      <c r="I29" s="63"/>
      <c r="J29" s="63"/>
      <c r="K29" s="63"/>
      <c r="L29" s="125">
        <f>VLOOKUP(D29,پایه!I24:J28,2,0)</f>
        <v>0</v>
      </c>
      <c r="M29"/>
    </row>
    <row r="30" spans="2:13" ht="45" customHeight="1">
      <c r="B30" s="24" t="s">
        <v>41</v>
      </c>
      <c r="C30" s="63"/>
      <c r="D30" s="65"/>
      <c r="E30" s="63"/>
      <c r="F30" s="63"/>
      <c r="G30" s="63"/>
      <c r="H30" s="63"/>
      <c r="I30" s="63"/>
      <c r="J30" s="63"/>
      <c r="K30" s="63"/>
      <c r="L30" s="125">
        <f>VLOOKUP(D30,پایه!I24:J28,2,0)</f>
        <v>0</v>
      </c>
      <c r="M30"/>
    </row>
    <row r="31" spans="2:13" ht="45" customHeight="1">
      <c r="B31" s="24" t="s">
        <v>42</v>
      </c>
      <c r="C31" s="63"/>
      <c r="D31" s="65"/>
      <c r="E31" s="63"/>
      <c r="F31" s="63"/>
      <c r="G31" s="63"/>
      <c r="H31" s="63"/>
      <c r="I31" s="63"/>
      <c r="J31" s="63"/>
      <c r="K31" s="63"/>
      <c r="L31" s="125">
        <f>VLOOKUP(D31,پایه!I24:J28,2,0)</f>
        <v>0</v>
      </c>
      <c r="M31"/>
    </row>
    <row r="32" spans="2:13" ht="45" customHeight="1">
      <c r="B32" s="24" t="s">
        <v>43</v>
      </c>
      <c r="C32" s="63"/>
      <c r="D32" s="65"/>
      <c r="E32" s="63"/>
      <c r="F32" s="63"/>
      <c r="G32" s="63"/>
      <c r="H32" s="63"/>
      <c r="I32" s="63"/>
      <c r="J32" s="63"/>
      <c r="K32" s="63"/>
      <c r="L32" s="125">
        <f>VLOOKUP(D32,پایه!I24:J28,2,0)</f>
        <v>0</v>
      </c>
      <c r="M32"/>
    </row>
    <row r="33" spans="2:14" ht="45" customHeight="1">
      <c r="B33" s="24" t="s">
        <v>59</v>
      </c>
      <c r="C33" s="63"/>
      <c r="D33" s="65"/>
      <c r="E33" s="63"/>
      <c r="F33" s="63"/>
      <c r="G33" s="63"/>
      <c r="H33" s="63"/>
      <c r="I33" s="63"/>
      <c r="J33" s="63"/>
      <c r="K33" s="63"/>
      <c r="L33" s="125">
        <f>VLOOKUP(D33,پایه!I24:J28,2,0)</f>
        <v>0</v>
      </c>
      <c r="M33"/>
    </row>
    <row r="34" spans="2:14" ht="45" customHeight="1">
      <c r="B34" s="24" t="s">
        <v>60</v>
      </c>
      <c r="C34" s="63"/>
      <c r="D34" s="65"/>
      <c r="E34" s="63"/>
      <c r="F34" s="63"/>
      <c r="G34" s="63"/>
      <c r="H34" s="63"/>
      <c r="I34" s="63"/>
      <c r="J34" s="63"/>
      <c r="K34" s="63"/>
      <c r="L34" s="125">
        <f>VLOOKUP(D34,پایه!I24:J28,2,0)</f>
        <v>0</v>
      </c>
      <c r="M34"/>
    </row>
    <row r="35" spans="2:14" ht="45" customHeight="1">
      <c r="B35" s="24" t="s">
        <v>61</v>
      </c>
      <c r="C35" s="63"/>
      <c r="D35" s="65"/>
      <c r="E35" s="63"/>
      <c r="F35" s="63"/>
      <c r="G35" s="63"/>
      <c r="H35" s="63"/>
      <c r="I35" s="63"/>
      <c r="J35" s="63"/>
      <c r="K35" s="63"/>
      <c r="L35" s="125">
        <f>VLOOKUP(D35,پایه!I24:J28,2,0)</f>
        <v>0</v>
      </c>
      <c r="M35"/>
    </row>
    <row r="36" spans="2:14" ht="45" customHeight="1">
      <c r="B36" s="24" t="s">
        <v>62</v>
      </c>
      <c r="C36" s="63"/>
      <c r="D36" s="65"/>
      <c r="E36" s="63"/>
      <c r="F36" s="63"/>
      <c r="G36" s="63"/>
      <c r="H36" s="63"/>
      <c r="I36" s="63"/>
      <c r="J36" s="63"/>
      <c r="K36" s="63"/>
      <c r="L36" s="125">
        <f>VLOOKUP(D36,پایه!I24:J28,2,0)</f>
        <v>0</v>
      </c>
      <c r="M36"/>
    </row>
    <row r="37" spans="2:14" ht="45" customHeight="1">
      <c r="B37" s="24" t="s">
        <v>63</v>
      </c>
      <c r="C37" s="63"/>
      <c r="D37" s="65"/>
      <c r="E37" s="63"/>
      <c r="F37" s="63"/>
      <c r="G37" s="63"/>
      <c r="H37" s="63"/>
      <c r="I37" s="63"/>
      <c r="J37" s="63"/>
      <c r="K37" s="63"/>
      <c r="L37" s="125">
        <f>VLOOKUP(D37,پایه!I24:J28,2,0)</f>
        <v>0</v>
      </c>
      <c r="M37"/>
    </row>
    <row r="38" spans="2:14" ht="24">
      <c r="B38"/>
      <c r="C38"/>
      <c r="D38"/>
      <c r="E38"/>
      <c r="F38"/>
      <c r="G38"/>
      <c r="H38"/>
      <c r="I38"/>
      <c r="J38"/>
      <c r="K38"/>
      <c r="L38" s="22" t="s">
        <v>68</v>
      </c>
      <c r="M38" s="51">
        <f>SUM(L28:L37)</f>
        <v>0</v>
      </c>
      <c r="N38" s="51">
        <f>IF(M38&gt;30,30,M38)</f>
        <v>0</v>
      </c>
    </row>
    <row r="39" spans="2:14" ht="23.25" thickBot="1">
      <c r="B39"/>
      <c r="C39"/>
      <c r="D39"/>
      <c r="E39"/>
      <c r="F39"/>
      <c r="G39"/>
      <c r="H39"/>
      <c r="I39"/>
      <c r="J39"/>
      <c r="K39"/>
      <c r="L39"/>
    </row>
    <row r="40" spans="2:14" ht="24.75" thickBot="1">
      <c r="B40" s="181" t="s">
        <v>67</v>
      </c>
      <c r="C40" s="182"/>
      <c r="D40" s="183"/>
      <c r="E40"/>
    </row>
    <row r="41" spans="2:14" ht="39">
      <c r="B41" s="34" t="s">
        <v>38</v>
      </c>
      <c r="C41" s="23" t="s">
        <v>44</v>
      </c>
      <c r="D41" s="23" t="s">
        <v>33</v>
      </c>
      <c r="E41" s="23" t="s">
        <v>65</v>
      </c>
      <c r="F41" s="23" t="s">
        <v>45</v>
      </c>
      <c r="G41" s="23" t="s">
        <v>66</v>
      </c>
      <c r="H41" s="23" t="s">
        <v>46</v>
      </c>
      <c r="I41" s="23" t="s">
        <v>47</v>
      </c>
      <c r="J41" s="23" t="s">
        <v>48</v>
      </c>
      <c r="K41" s="23" t="s">
        <v>49</v>
      </c>
      <c r="L41" s="52" t="s">
        <v>37</v>
      </c>
      <c r="M41"/>
    </row>
    <row r="42" spans="2:14" ht="45" customHeight="1">
      <c r="B42" s="24" t="s">
        <v>39</v>
      </c>
      <c r="C42" s="63"/>
      <c r="D42" s="66"/>
      <c r="E42" s="63"/>
      <c r="F42" s="63"/>
      <c r="G42" s="63"/>
      <c r="H42" s="63"/>
      <c r="I42" s="63"/>
      <c r="J42" s="63"/>
      <c r="K42" s="63"/>
      <c r="L42" s="125">
        <f>VLOOKUP(D42,پایه!L29:M31,2,0)</f>
        <v>0</v>
      </c>
      <c r="M42"/>
    </row>
    <row r="43" spans="2:14" ht="45" customHeight="1">
      <c r="B43" s="24" t="s">
        <v>40</v>
      </c>
      <c r="C43" s="63"/>
      <c r="D43" s="66"/>
      <c r="E43" s="63"/>
      <c r="F43" s="63"/>
      <c r="G43" s="63"/>
      <c r="H43" s="63"/>
      <c r="I43" s="63"/>
      <c r="J43" s="63"/>
      <c r="K43" s="63"/>
      <c r="L43" s="125">
        <f>VLOOKUP(D43,پایه!L29:M31,2,0)</f>
        <v>0</v>
      </c>
      <c r="M43"/>
    </row>
    <row r="44" spans="2:14" ht="45" customHeight="1">
      <c r="B44" s="24" t="s">
        <v>41</v>
      </c>
      <c r="C44" s="63"/>
      <c r="D44" s="66"/>
      <c r="E44" s="63"/>
      <c r="F44" s="63"/>
      <c r="G44" s="63"/>
      <c r="H44" s="63"/>
      <c r="I44" s="63"/>
      <c r="J44" s="63"/>
      <c r="K44" s="63"/>
      <c r="L44" s="125">
        <f>VLOOKUP(D44,پایه!L29:M31,2,0)</f>
        <v>0</v>
      </c>
      <c r="M44"/>
    </row>
    <row r="45" spans="2:14" ht="26.25">
      <c r="B45"/>
      <c r="C45"/>
      <c r="D45"/>
      <c r="E45"/>
      <c r="F45"/>
      <c r="G45"/>
      <c r="H45"/>
      <c r="I45"/>
      <c r="J45"/>
      <c r="K45" s="22" t="s">
        <v>68</v>
      </c>
      <c r="L45" s="125">
        <f>SUM(L42:L44)</f>
        <v>0</v>
      </c>
      <c r="M45" s="125">
        <f>IF(L45&gt;20,20,L45)</f>
        <v>0</v>
      </c>
    </row>
    <row r="46" spans="2:14">
      <c r="B46"/>
      <c r="C46"/>
      <c r="D46"/>
      <c r="E46"/>
      <c r="F46"/>
      <c r="G46"/>
      <c r="H46"/>
      <c r="I46"/>
      <c r="J46"/>
      <c r="K46"/>
      <c r="L46"/>
      <c r="M46"/>
    </row>
    <row r="47" spans="2:14" ht="23.25" thickBot="1">
      <c r="B47"/>
      <c r="C47"/>
      <c r="D47"/>
      <c r="E47"/>
      <c r="F47"/>
      <c r="G47"/>
      <c r="H47"/>
      <c r="I47"/>
      <c r="J47"/>
      <c r="K47"/>
      <c r="L47"/>
      <c r="M47"/>
    </row>
    <row r="48" spans="2:14" ht="24.75" thickBot="1">
      <c r="B48" s="181" t="s">
        <v>71</v>
      </c>
      <c r="C48" s="182"/>
      <c r="D48" s="183"/>
      <c r="E48"/>
    </row>
    <row r="49" spans="2:13" ht="39">
      <c r="B49" s="34" t="s">
        <v>38</v>
      </c>
      <c r="C49" s="23" t="s">
        <v>44</v>
      </c>
      <c r="D49" s="23" t="s">
        <v>33</v>
      </c>
      <c r="E49" s="23" t="s">
        <v>65</v>
      </c>
      <c r="F49" s="23" t="s">
        <v>45</v>
      </c>
      <c r="G49" s="23" t="s">
        <v>66</v>
      </c>
      <c r="H49" s="23" t="s">
        <v>46</v>
      </c>
      <c r="I49" s="23" t="s">
        <v>47</v>
      </c>
      <c r="J49" s="23" t="s">
        <v>48</v>
      </c>
      <c r="K49" s="23" t="s">
        <v>49</v>
      </c>
      <c r="L49" s="50" t="s">
        <v>37</v>
      </c>
      <c r="M49"/>
    </row>
    <row r="50" spans="2:13" ht="45" customHeight="1">
      <c r="B50" s="24" t="s">
        <v>39</v>
      </c>
      <c r="C50" s="63"/>
      <c r="D50" s="66"/>
      <c r="E50" s="63"/>
      <c r="F50" s="63"/>
      <c r="G50" s="63"/>
      <c r="H50" s="63"/>
      <c r="I50" s="63"/>
      <c r="J50" s="63"/>
      <c r="K50" s="63"/>
      <c r="L50" s="125">
        <f>IF(OR(D50="نیروگاه‌های غیر فتوولتائیک بالاتر از یک مگاوات",D50="خط و پست"),7,0)</f>
        <v>0</v>
      </c>
      <c r="M50"/>
    </row>
    <row r="51" spans="2:13" ht="45" customHeight="1">
      <c r="B51" s="24" t="s">
        <v>40</v>
      </c>
      <c r="C51" s="63"/>
      <c r="D51" s="66"/>
      <c r="E51" s="63"/>
      <c r="F51" s="63"/>
      <c r="G51" s="63"/>
      <c r="H51" s="63"/>
      <c r="I51" s="63"/>
      <c r="J51" s="63"/>
      <c r="K51" s="63"/>
      <c r="L51" s="125">
        <f>IF(OR(D51="نیروگاه‌های غیر فتوولتائیک بالاتر از یک مگاوات",D51="خط و پست"),7,0)</f>
        <v>0</v>
      </c>
      <c r="M51"/>
    </row>
    <row r="52" spans="2:13" ht="45" customHeight="1">
      <c r="B52" s="24" t="s">
        <v>41</v>
      </c>
      <c r="C52" s="63"/>
      <c r="D52" s="66"/>
      <c r="E52" s="63"/>
      <c r="F52" s="63"/>
      <c r="G52" s="63"/>
      <c r="H52" s="63"/>
      <c r="I52" s="63"/>
      <c r="J52" s="63"/>
      <c r="K52" s="63"/>
      <c r="L52" s="125">
        <f>IF(OR(D52="نیروگاه‌های غیر فتوولتائیک بالاتر از یک مگاوات",D52="خط و پست"),7,0)</f>
        <v>0</v>
      </c>
      <c r="M52"/>
    </row>
    <row r="53" spans="2:13" ht="26.25">
      <c r="B53"/>
      <c r="C53"/>
      <c r="D53"/>
      <c r="E53"/>
      <c r="F53"/>
      <c r="G53"/>
      <c r="H53"/>
      <c r="I53"/>
      <c r="J53"/>
      <c r="K53" s="22" t="s">
        <v>68</v>
      </c>
      <c r="L53" s="125">
        <f>SUM(L50:L52)</f>
        <v>0</v>
      </c>
      <c r="M53" s="125">
        <f>IF(L53&gt;20,20,L53)</f>
        <v>0</v>
      </c>
    </row>
    <row r="54" spans="2:13">
      <c r="E54" s="53" t="s">
        <v>73</v>
      </c>
    </row>
    <row r="55" spans="2:13">
      <c r="B55" s="184" t="s">
        <v>69</v>
      </c>
      <c r="C55" s="184"/>
      <c r="D55" s="56">
        <f>N38</f>
        <v>0</v>
      </c>
      <c r="E55" s="39"/>
    </row>
    <row r="56" spans="2:13">
      <c r="B56" s="179" t="s">
        <v>70</v>
      </c>
      <c r="C56" s="179"/>
      <c r="D56" s="37">
        <f>M45</f>
        <v>0</v>
      </c>
      <c r="E56" s="2"/>
    </row>
    <row r="57" spans="2:13" ht="23.25" thickBot="1">
      <c r="B57" s="179" t="s">
        <v>72</v>
      </c>
      <c r="C57" s="179"/>
      <c r="D57" s="38">
        <f>M53</f>
        <v>0</v>
      </c>
      <c r="E57" s="36"/>
    </row>
    <row r="58" spans="2:13" ht="23.25" thickBot="1">
      <c r="B58" s="179" t="s">
        <v>68</v>
      </c>
      <c r="C58" s="180"/>
      <c r="D58" s="37">
        <f>SUM(D55:D57)</f>
        <v>0</v>
      </c>
      <c r="E58" s="29">
        <f>IF(D58&gt;30,30,D58)</f>
        <v>0</v>
      </c>
    </row>
  </sheetData>
  <sheetProtection algorithmName="SHA-512" hashValue="4QKUckRsaP4wXX1Aqndj6KWeUf0lobkzylWMNBOdir3dVOPTvQCze/wYrwhwlsKAaGNG2M9Lu/WGVKpUlAffEQ==" saltValue="Bib0uWlsO4Yx4gNxqboI3Q==" spinCount="100000" sheet="1" objects="1" scenarios="1"/>
  <mergeCells count="12">
    <mergeCell ref="B19:D19"/>
    <mergeCell ref="B11:D11"/>
    <mergeCell ref="B1:D2"/>
    <mergeCell ref="B7:D7"/>
    <mergeCell ref="B26:D26"/>
    <mergeCell ref="B9:E9"/>
    <mergeCell ref="B58:C58"/>
    <mergeCell ref="B40:D40"/>
    <mergeCell ref="B48:D48"/>
    <mergeCell ref="B55:C55"/>
    <mergeCell ref="B56:C56"/>
    <mergeCell ref="B57:C57"/>
  </mergeCells>
  <phoneticPr fontId="26" type="noConversion"/>
  <dataValidations count="3">
    <dataValidation type="list" allowBlank="1" showInputMessage="1" showErrorMessage="1" sqref="D28:D37" xr:uid="{00000000-0002-0000-0300-000000000000}">
      <formula1>$B$14:$B$17</formula1>
    </dataValidation>
    <dataValidation type="list" allowBlank="1" showInputMessage="1" showErrorMessage="1" sqref="D50:D52" xr:uid="{00000000-0002-0000-0300-000001000000}">
      <formula1>$B$23</formula1>
    </dataValidation>
    <dataValidation type="list" allowBlank="1" showInputMessage="1" showErrorMessage="1" sqref="D42:D44" xr:uid="{00000000-0002-0000-0300-000002000000}">
      <formula1>$B$22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2EF7-13D8-479E-A3E7-1E8E4A81BDFE}">
  <dimension ref="B1:J28"/>
  <sheetViews>
    <sheetView rightToLeft="1" zoomScaleNormal="100" workbookViewId="0">
      <selection activeCell="D23" sqref="D23"/>
    </sheetView>
  </sheetViews>
  <sheetFormatPr defaultColWidth="8.85546875" defaultRowHeight="22.5"/>
  <cols>
    <col min="1" max="1" width="8.85546875" style="1"/>
    <col min="2" max="2" width="38.140625" style="1" customWidth="1"/>
    <col min="3" max="3" width="26.7109375" style="1" customWidth="1"/>
    <col min="4" max="4" width="22" style="1" customWidth="1"/>
    <col min="5" max="5" width="22.28515625" style="1" customWidth="1"/>
    <col min="6" max="6" width="21.85546875" style="1" customWidth="1"/>
    <col min="7" max="7" width="22.28515625" style="1" customWidth="1"/>
    <col min="8" max="8" width="10.7109375" style="1" customWidth="1"/>
    <col min="9" max="11" width="8.85546875" style="1"/>
    <col min="12" max="12" width="27.42578125" style="1" customWidth="1"/>
    <col min="13" max="15" width="22.28515625" style="1" customWidth="1"/>
    <col min="16" max="16" width="22.140625" style="1" customWidth="1"/>
    <col min="17" max="17" width="21.28515625" style="1" customWidth="1"/>
    <col min="18" max="16384" width="8.85546875" style="1"/>
  </cols>
  <sheetData>
    <row r="1" spans="2:8" ht="22.5" customHeight="1">
      <c r="B1" s="188" t="s">
        <v>197</v>
      </c>
      <c r="C1" s="188"/>
      <c r="D1" s="188"/>
      <c r="E1" s="188"/>
      <c r="F1" s="188"/>
      <c r="G1" s="188"/>
    </row>
    <row r="2" spans="2:8" ht="22.5" customHeight="1"/>
    <row r="3" spans="2:8">
      <c r="B3" s="198" t="s">
        <v>90</v>
      </c>
      <c r="C3" s="198"/>
      <c r="D3" s="198"/>
      <c r="E3" s="198"/>
    </row>
    <row r="4" spans="2:8" ht="23.25" thickBot="1"/>
    <row r="5" spans="2:8">
      <c r="B5" s="199" t="s">
        <v>20</v>
      </c>
      <c r="C5" s="202" t="s">
        <v>36</v>
      </c>
      <c r="D5" s="205" t="s">
        <v>74</v>
      </c>
      <c r="E5" s="206"/>
      <c r="F5" s="206"/>
      <c r="G5" s="207"/>
      <c r="H5" s="45" t="s">
        <v>76</v>
      </c>
    </row>
    <row r="6" spans="2:8" ht="23.25" thickBot="1">
      <c r="B6" s="200"/>
      <c r="C6" s="203"/>
      <c r="D6" s="208" t="s">
        <v>75</v>
      </c>
      <c r="E6" s="209"/>
      <c r="F6" s="209"/>
      <c r="G6" s="210"/>
      <c r="H6" s="46" t="s">
        <v>77</v>
      </c>
    </row>
    <row r="7" spans="2:8" ht="23.25" thickBot="1">
      <c r="B7" s="201"/>
      <c r="C7" s="204"/>
      <c r="D7" s="108" t="s">
        <v>78</v>
      </c>
      <c r="E7" s="40" t="s">
        <v>79</v>
      </c>
      <c r="F7" s="108" t="s">
        <v>80</v>
      </c>
      <c r="G7" s="40" t="s">
        <v>81</v>
      </c>
      <c r="H7" s="47"/>
    </row>
    <row r="8" spans="2:8" ht="23.25" thickBot="1">
      <c r="B8" s="41">
        <v>1</v>
      </c>
      <c r="C8" s="42" t="s">
        <v>82</v>
      </c>
      <c r="D8" s="43">
        <v>100</v>
      </c>
      <c r="E8" s="43">
        <v>80</v>
      </c>
      <c r="F8" s="43">
        <v>50</v>
      </c>
      <c r="G8" s="43">
        <v>0</v>
      </c>
      <c r="H8" s="48">
        <v>3</v>
      </c>
    </row>
    <row r="9" spans="2:8" ht="23.25" thickBot="1">
      <c r="B9" s="41">
        <v>2</v>
      </c>
      <c r="C9" s="42" t="s">
        <v>83</v>
      </c>
      <c r="D9" s="43">
        <v>100</v>
      </c>
      <c r="E9" s="43">
        <v>80</v>
      </c>
      <c r="F9" s="43">
        <v>50</v>
      </c>
      <c r="G9" s="43">
        <v>0</v>
      </c>
      <c r="H9" s="48">
        <v>2</v>
      </c>
    </row>
    <row r="10" spans="2:8" ht="23.25" thickBot="1">
      <c r="B10" s="41">
        <v>3</v>
      </c>
      <c r="C10" s="42" t="s">
        <v>84</v>
      </c>
      <c r="D10" s="43">
        <v>100</v>
      </c>
      <c r="E10" s="43">
        <v>80</v>
      </c>
      <c r="F10" s="43">
        <v>50</v>
      </c>
      <c r="G10" s="43">
        <v>0</v>
      </c>
      <c r="H10" s="48">
        <v>2</v>
      </c>
    </row>
    <row r="11" spans="2:8" ht="39.75" thickBot="1">
      <c r="B11" s="41">
        <v>4</v>
      </c>
      <c r="C11" s="42" t="s">
        <v>85</v>
      </c>
      <c r="D11" s="43">
        <v>100</v>
      </c>
      <c r="E11" s="43">
        <v>80</v>
      </c>
      <c r="F11" s="43">
        <v>50</v>
      </c>
      <c r="G11" s="43">
        <v>0</v>
      </c>
      <c r="H11" s="48">
        <v>1</v>
      </c>
    </row>
    <row r="12" spans="2:8" ht="59.25" thickBot="1">
      <c r="B12" s="41">
        <v>5</v>
      </c>
      <c r="C12" s="44" t="s">
        <v>86</v>
      </c>
      <c r="D12" s="43">
        <v>100</v>
      </c>
      <c r="E12" s="43">
        <v>80</v>
      </c>
      <c r="F12" s="43">
        <v>50</v>
      </c>
      <c r="G12" s="43">
        <v>0</v>
      </c>
      <c r="H12" s="48">
        <v>1</v>
      </c>
    </row>
    <row r="13" spans="2:8" ht="39.75" thickBot="1">
      <c r="B13" s="41">
        <v>6</v>
      </c>
      <c r="C13" s="42" t="s">
        <v>87</v>
      </c>
      <c r="D13" s="43">
        <v>100</v>
      </c>
      <c r="E13" s="43">
        <v>80</v>
      </c>
      <c r="F13" s="43">
        <v>50</v>
      </c>
      <c r="G13" s="43">
        <v>0</v>
      </c>
      <c r="H13" s="48">
        <v>1</v>
      </c>
    </row>
    <row r="14" spans="2:8" ht="33.6" customHeight="1" thickBot="1">
      <c r="B14" s="193"/>
      <c r="C14" s="194"/>
      <c r="D14" s="194"/>
      <c r="E14" s="194"/>
      <c r="F14" s="194"/>
      <c r="G14" s="194"/>
      <c r="H14" s="195"/>
    </row>
    <row r="17" spans="2:10" ht="26.25">
      <c r="B17" s="196" t="s">
        <v>35</v>
      </c>
      <c r="C17" s="196"/>
      <c r="D17" s="196"/>
      <c r="E17" s="196"/>
      <c r="F17" s="196"/>
    </row>
    <row r="19" spans="2:10" ht="24">
      <c r="B19" s="24" t="s">
        <v>38</v>
      </c>
      <c r="C19" s="24" t="s">
        <v>39</v>
      </c>
      <c r="D19" s="24" t="s">
        <v>40</v>
      </c>
      <c r="E19" s="24" t="s">
        <v>41</v>
      </c>
      <c r="F19" s="24" t="s">
        <v>42</v>
      </c>
      <c r="G19" s="24" t="s">
        <v>43</v>
      </c>
      <c r="H19" s="211" t="s">
        <v>95</v>
      </c>
      <c r="I19" s="211"/>
      <c r="J19" s="211"/>
    </row>
    <row r="20" spans="2:10" ht="28.5" customHeight="1">
      <c r="B20" s="50" t="s">
        <v>82</v>
      </c>
      <c r="C20" s="67"/>
      <c r="D20" s="67"/>
      <c r="E20" s="67"/>
      <c r="F20" s="67"/>
      <c r="G20" s="67"/>
      <c r="H20" s="212"/>
      <c r="I20" s="212"/>
      <c r="J20" s="212"/>
    </row>
    <row r="21" spans="2:10">
      <c r="B21" s="50" t="s">
        <v>83</v>
      </c>
      <c r="C21" s="67"/>
      <c r="D21" s="67"/>
      <c r="E21" s="67"/>
      <c r="F21" s="67"/>
      <c r="G21" s="67"/>
      <c r="H21" s="212"/>
      <c r="I21" s="212"/>
      <c r="J21" s="212"/>
    </row>
    <row r="22" spans="2:10">
      <c r="B22" s="50" t="s">
        <v>84</v>
      </c>
      <c r="C22" s="67"/>
      <c r="D22" s="67"/>
      <c r="E22" s="67"/>
      <c r="F22" s="67"/>
      <c r="G22" s="67"/>
      <c r="H22" s="212"/>
      <c r="I22" s="212"/>
      <c r="J22" s="212"/>
    </row>
    <row r="23" spans="2:10" ht="39">
      <c r="B23" s="50" t="s">
        <v>85</v>
      </c>
      <c r="C23" s="67"/>
      <c r="D23" s="67"/>
      <c r="E23" s="67"/>
      <c r="F23" s="67"/>
      <c r="G23" s="67"/>
      <c r="H23" s="212"/>
      <c r="I23" s="212"/>
      <c r="J23" s="212"/>
    </row>
    <row r="24" spans="2:10" ht="58.5">
      <c r="B24" s="50" t="s">
        <v>86</v>
      </c>
      <c r="C24" s="67"/>
      <c r="D24" s="67"/>
      <c r="E24" s="67"/>
      <c r="F24" s="67"/>
      <c r="G24" s="67"/>
      <c r="H24" s="212"/>
      <c r="I24" s="212"/>
      <c r="J24" s="212"/>
    </row>
    <row r="25" spans="2:10">
      <c r="B25" s="50" t="s">
        <v>87</v>
      </c>
      <c r="C25" s="67"/>
      <c r="D25" s="67"/>
      <c r="E25" s="67"/>
      <c r="F25" s="67"/>
      <c r="G25" s="67"/>
      <c r="H25" s="212"/>
      <c r="I25" s="212"/>
      <c r="J25" s="212"/>
    </row>
    <row r="26" spans="2:10" ht="24">
      <c r="B26" s="49" t="s">
        <v>100</v>
      </c>
      <c r="C26" s="2">
        <f>(3*C20+2*C21+2*C22+C23+C24+C25)/10</f>
        <v>0</v>
      </c>
      <c r="D26" s="2">
        <f t="shared" ref="D26:G26" si="0">(3*D20+2*D21+2*D22+D23+D24+D25)/10</f>
        <v>0</v>
      </c>
      <c r="E26" s="2">
        <f t="shared" si="0"/>
        <v>0</v>
      </c>
      <c r="F26" s="2">
        <f t="shared" si="0"/>
        <v>0</v>
      </c>
      <c r="G26" s="2">
        <f t="shared" si="0"/>
        <v>0</v>
      </c>
    </row>
    <row r="27" spans="2:10" ht="24.75" thickBot="1">
      <c r="B27" s="197" t="s">
        <v>52</v>
      </c>
      <c r="C27" s="197"/>
      <c r="D27" s="197"/>
      <c r="E27" s="197"/>
      <c r="F27" s="197"/>
      <c r="G27" s="36">
        <f>SUM(C26:G26)</f>
        <v>0</v>
      </c>
    </row>
    <row r="28" spans="2:10" ht="23.25" thickBot="1">
      <c r="G28" s="29">
        <f>G27*20/500</f>
        <v>0</v>
      </c>
    </row>
  </sheetData>
  <sheetProtection algorithmName="SHA-512" hashValue="q2Cbl580VHHgccVvF3q1ybv2/lpWrPwjlF4xGSSrDJqcNE8FvborYhfNpht5HD2NAhqKhBU8HskBFjdHX6rZgA==" saltValue="SYTCkmOA9Bzu6e+EnGvrPA==" spinCount="100000" sheet="1" objects="1" scenarios="1"/>
  <protectedRanges>
    <protectedRange sqref="C20:J25" name="Range1"/>
  </protectedRanges>
  <mergeCells count="16">
    <mergeCell ref="B14:H14"/>
    <mergeCell ref="B17:F17"/>
    <mergeCell ref="B27:F27"/>
    <mergeCell ref="B1:G1"/>
    <mergeCell ref="B3:E3"/>
    <mergeCell ref="B5:B7"/>
    <mergeCell ref="C5:C7"/>
    <mergeCell ref="D5:G5"/>
    <mergeCell ref="D6:G6"/>
    <mergeCell ref="H19:J19"/>
    <mergeCell ref="H20:J20"/>
    <mergeCell ref="H21:J21"/>
    <mergeCell ref="H22:J22"/>
    <mergeCell ref="H23:J23"/>
    <mergeCell ref="H24:J24"/>
    <mergeCell ref="H25:J25"/>
  </mergeCells>
  <dataValidations count="1">
    <dataValidation type="list" allowBlank="1" showInputMessage="1" showErrorMessage="1" sqref="C20:G25" xr:uid="{6A627052-9E4C-443E-9F6D-78E0301A78E1}">
      <formula1>$D$8:$G$8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M20"/>
  <sheetViews>
    <sheetView rightToLeft="1" zoomScaleNormal="100" workbookViewId="0">
      <selection activeCell="I4" sqref="I4"/>
    </sheetView>
  </sheetViews>
  <sheetFormatPr defaultColWidth="8.85546875" defaultRowHeight="22.5"/>
  <cols>
    <col min="1" max="1" width="8.85546875" style="1"/>
    <col min="2" max="2" width="38.140625" style="1" customWidth="1"/>
    <col min="3" max="3" width="26.7109375" style="1" customWidth="1"/>
    <col min="4" max="4" width="22" style="1" customWidth="1"/>
    <col min="5" max="5" width="22.28515625" style="1" customWidth="1"/>
    <col min="6" max="6" width="21.85546875" style="1" customWidth="1"/>
    <col min="7" max="7" width="22.28515625" style="1" customWidth="1"/>
    <col min="8" max="8" width="10.7109375" style="1" customWidth="1"/>
    <col min="9" max="9" width="11" style="1" customWidth="1"/>
    <col min="10" max="11" width="8.85546875" style="1"/>
    <col min="12" max="12" width="27.42578125" style="1" customWidth="1"/>
    <col min="13" max="15" width="22.28515625" style="1" customWidth="1"/>
    <col min="16" max="16" width="22.140625" style="1" customWidth="1"/>
    <col min="17" max="17" width="21.28515625" style="1" customWidth="1"/>
    <col min="18" max="16384" width="8.85546875" style="1"/>
  </cols>
  <sheetData>
    <row r="1" spans="2:13" ht="22.5" customHeight="1">
      <c r="B1" s="188" t="s">
        <v>198</v>
      </c>
      <c r="C1" s="188"/>
      <c r="D1" s="188"/>
      <c r="E1" s="188"/>
      <c r="F1" s="188"/>
      <c r="G1" s="188"/>
    </row>
    <row r="3" spans="2:13" ht="31.5">
      <c r="B3" s="111" t="s">
        <v>139</v>
      </c>
      <c r="C3" s="111" t="s">
        <v>140</v>
      </c>
      <c r="D3" s="111" t="s">
        <v>141</v>
      </c>
      <c r="E3" s="111" t="s">
        <v>142</v>
      </c>
      <c r="F3" s="111" t="s">
        <v>143</v>
      </c>
      <c r="G3" s="111" t="s">
        <v>144</v>
      </c>
      <c r="H3" s="111" t="s">
        <v>145</v>
      </c>
      <c r="I3" s="111" t="s">
        <v>37</v>
      </c>
    </row>
    <row r="4" spans="2:13">
      <c r="B4" s="112"/>
      <c r="C4" s="113"/>
      <c r="D4" s="112"/>
      <c r="E4" s="113"/>
      <c r="F4" s="112"/>
      <c r="G4" s="112"/>
      <c r="H4" s="114">
        <f>VLOOKUP(C4,پایه!H35:I38,2,0)</f>
        <v>0</v>
      </c>
      <c r="I4" s="114">
        <f>IF(E4=پایه!H31,'کیفیت کارکنان کلیدی'!H4*پایه!I31,(IF(E4=پایه!H30,'کیفیت کارکنان کلیدی'!H4*پایه!I30,0)))</f>
        <v>0</v>
      </c>
    </row>
    <row r="5" spans="2:13">
      <c r="B5" s="112"/>
      <c r="C5" s="113"/>
      <c r="D5" s="112"/>
      <c r="E5" s="113"/>
      <c r="F5" s="112"/>
      <c r="G5" s="112"/>
      <c r="H5" s="114">
        <f>VLOOKUP(C5,پایه!H35:I38,2,0)</f>
        <v>0</v>
      </c>
      <c r="I5" s="114">
        <f>IF(E5=پایه!H31,'کیفیت کارکنان کلیدی'!H5*پایه!I31,(IF(E5=پایه!H30,'کیفیت کارکنان کلیدی'!H5*پایه!I30,0)))</f>
        <v>0</v>
      </c>
      <c r="K5" s="147" t="s">
        <v>195</v>
      </c>
      <c r="L5" s="147"/>
    </row>
    <row r="6" spans="2:13">
      <c r="B6" s="112"/>
      <c r="C6" s="113"/>
      <c r="D6" s="112"/>
      <c r="E6" s="113"/>
      <c r="F6" s="112"/>
      <c r="G6" s="112"/>
      <c r="H6" s="114">
        <f>VLOOKUP(C6,پایه!H35:I38,2,0)</f>
        <v>0</v>
      </c>
      <c r="I6" s="114">
        <f>IF(E6=پایه!H31,'کیفیت کارکنان کلیدی'!H6*پایه!I31,(IF(E6=پایه!H30,'کیفیت کارکنان کلیدی'!H6*پایه!I30,0)))</f>
        <v>0</v>
      </c>
      <c r="K6" s="115">
        <f>IF(I13&gt;15,15,I13)</f>
        <v>0</v>
      </c>
    </row>
    <row r="7" spans="2:13">
      <c r="B7" s="112"/>
      <c r="C7" s="113"/>
      <c r="D7" s="112"/>
      <c r="E7" s="113"/>
      <c r="F7" s="112"/>
      <c r="G7" s="112"/>
      <c r="H7" s="114">
        <f>VLOOKUP(C7,پایه!H35:I38,2,0)</f>
        <v>0</v>
      </c>
      <c r="I7" s="114">
        <f>IF(E7=پایه!H31,'کیفیت کارکنان کلیدی'!H7*پایه!I31,(IF(E7=پایه!H30,'کیفیت کارکنان کلیدی'!H7*پایه!I30,0)))</f>
        <v>0</v>
      </c>
    </row>
    <row r="8" spans="2:13" ht="21.75" hidden="1" customHeight="1">
      <c r="B8" s="215" t="s">
        <v>146</v>
      </c>
      <c r="C8" s="216" t="s">
        <v>147</v>
      </c>
      <c r="D8" s="219"/>
      <c r="E8" s="220"/>
      <c r="F8" s="116"/>
      <c r="G8" s="223"/>
      <c r="H8" s="220"/>
      <c r="I8" s="223"/>
      <c r="J8" s="223"/>
      <c r="K8" s="223"/>
      <c r="L8" s="223"/>
      <c r="M8" s="117"/>
    </row>
    <row r="9" spans="2:13" ht="21.75" hidden="1" customHeight="1">
      <c r="B9" s="215"/>
      <c r="C9" s="217"/>
      <c r="D9" s="219"/>
      <c r="E9" s="221"/>
      <c r="F9" s="116"/>
      <c r="G9" s="223"/>
      <c r="H9" s="221"/>
      <c r="I9" s="223"/>
      <c r="J9" s="223"/>
      <c r="K9" s="223"/>
      <c r="L9" s="223"/>
      <c r="M9" s="117"/>
    </row>
    <row r="10" spans="2:13" ht="21.75" hidden="1" customHeight="1">
      <c r="B10" s="215"/>
      <c r="C10" s="217"/>
      <c r="D10" s="219"/>
      <c r="E10" s="221"/>
      <c r="F10" s="116"/>
      <c r="G10" s="223"/>
      <c r="H10" s="221"/>
      <c r="I10" s="223"/>
      <c r="J10" s="223"/>
      <c r="K10" s="223"/>
      <c r="L10" s="223"/>
      <c r="M10" s="117"/>
    </row>
    <row r="11" spans="2:13" ht="21.75" hidden="1" customHeight="1">
      <c r="B11" s="215"/>
      <c r="C11" s="217"/>
      <c r="D11" s="219"/>
      <c r="E11" s="221"/>
      <c r="F11" s="116"/>
      <c r="G11" s="223"/>
      <c r="H11" s="221"/>
      <c r="I11" s="223"/>
      <c r="J11" s="223"/>
      <c r="K11" s="223"/>
      <c r="L11" s="223"/>
      <c r="M11" s="117"/>
    </row>
    <row r="12" spans="2:13" ht="22.5" hidden="1" customHeight="1">
      <c r="B12" s="215"/>
      <c r="C12" s="218"/>
      <c r="D12" s="219"/>
      <c r="E12" s="222"/>
      <c r="F12" s="116"/>
      <c r="G12" s="223"/>
      <c r="H12" s="222"/>
      <c r="I12" s="223"/>
      <c r="J12" s="223"/>
      <c r="K12" s="223"/>
      <c r="L12" s="223"/>
      <c r="M12" s="117"/>
    </row>
    <row r="13" spans="2:13">
      <c r="B13" s="118" t="s">
        <v>148</v>
      </c>
      <c r="C13" s="118"/>
      <c r="D13" s="118"/>
      <c r="E13" s="118"/>
      <c r="F13" s="118"/>
      <c r="G13" s="118"/>
      <c r="H13" s="118"/>
      <c r="I13" s="119">
        <f>IF(OR(C4="برق",C5="برق",C6="برق",C7="برق"),SUM(I4:I7),0)</f>
        <v>0</v>
      </c>
    </row>
    <row r="14" spans="2:13">
      <c r="B14" s="120"/>
    </row>
    <row r="15" spans="2:13">
      <c r="B15" s="213" t="s">
        <v>149</v>
      </c>
      <c r="C15" s="214"/>
      <c r="D15" s="214"/>
      <c r="E15" s="214"/>
      <c r="F15" s="214"/>
      <c r="G15" s="214"/>
    </row>
    <row r="16" spans="2:13" ht="21" customHeight="1">
      <c r="B16" s="214"/>
      <c r="C16" s="214"/>
      <c r="D16" s="214"/>
      <c r="E16" s="214"/>
      <c r="F16" s="214"/>
      <c r="G16" s="214"/>
      <c r="H16" s="120"/>
      <c r="I16" s="120"/>
      <c r="J16" s="120"/>
      <c r="K16" s="120"/>
      <c r="L16" s="120"/>
      <c r="M16" s="120"/>
    </row>
    <row r="17" spans="2:7" ht="30" customHeight="1">
      <c r="B17" s="214"/>
      <c r="C17" s="214"/>
      <c r="D17" s="214"/>
      <c r="E17" s="214"/>
      <c r="F17" s="214"/>
      <c r="G17" s="214"/>
    </row>
    <row r="18" spans="2:7">
      <c r="B18" s="214"/>
      <c r="C18" s="214"/>
      <c r="D18" s="214"/>
      <c r="E18" s="214"/>
      <c r="F18" s="214"/>
      <c r="G18" s="214"/>
    </row>
    <row r="19" spans="2:7">
      <c r="B19" s="214"/>
      <c r="C19" s="214"/>
      <c r="D19" s="214"/>
      <c r="E19" s="214"/>
      <c r="F19" s="214"/>
      <c r="G19" s="214"/>
    </row>
    <row r="20" spans="2:7" ht="32.25" customHeight="1">
      <c r="B20" s="214"/>
      <c r="C20" s="214"/>
      <c r="D20" s="214"/>
      <c r="E20" s="214"/>
      <c r="F20" s="214"/>
      <c r="G20" s="214"/>
    </row>
  </sheetData>
  <sheetProtection algorithmName="SHA-512" hashValue="lwfPJG1sGE1dV/z5hI+z++G96exVzTvSiLD05lGcS2R+/pDOHFop281l+qMhrGMRXYkiLOIWVH/NRAYBFoUZyg==" saltValue="Tz+wc4gx0TDZy1XJ6y7YsA==" spinCount="100000" sheet="1" objects="1" scenarios="1"/>
  <protectedRanges>
    <protectedRange sqref="B4:G7" name="Range1"/>
  </protectedRanges>
  <mergeCells count="13">
    <mergeCell ref="B1:G1"/>
    <mergeCell ref="B15:G20"/>
    <mergeCell ref="K5:L5"/>
    <mergeCell ref="B8:B12"/>
    <mergeCell ref="C8:C12"/>
    <mergeCell ref="D8:D12"/>
    <mergeCell ref="E8:E12"/>
    <mergeCell ref="G8:G12"/>
    <mergeCell ref="H8:H12"/>
    <mergeCell ref="I8:I12"/>
    <mergeCell ref="J8:J12"/>
    <mergeCell ref="K8:K12"/>
    <mergeCell ref="L8:L12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1AF2996-E4B4-477A-A9A2-E9FF035DF0AC}">
          <x14:formula1>
            <xm:f>پایه!$H$35:$H$37</xm:f>
          </x14:formula1>
          <xm:sqref>C4:C7</xm:sqref>
        </x14:dataValidation>
        <x14:dataValidation type="list" allowBlank="1" showInputMessage="1" showErrorMessage="1" xr:uid="{6E54F93C-5456-4547-88EB-7221B89ED38F}">
          <x14:formula1>
            <xm:f>پایه!$H$30:$H$31</xm:f>
          </x14:formula1>
          <xm:sqref>E4:E7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D1:K64"/>
  <sheetViews>
    <sheetView rightToLeft="1" tabSelected="1" topLeftCell="C1" zoomScale="85" zoomScaleNormal="85" workbookViewId="0">
      <selection activeCell="E53" sqref="E53"/>
    </sheetView>
  </sheetViews>
  <sheetFormatPr defaultColWidth="8.85546875" defaultRowHeight="22.5"/>
  <cols>
    <col min="1" max="3" width="8.85546875" style="1"/>
    <col min="4" max="4" width="65.7109375" style="1" customWidth="1"/>
    <col min="5" max="5" width="37.140625" style="1" customWidth="1"/>
    <col min="6" max="6" width="37.5703125" style="1" customWidth="1"/>
    <col min="7" max="7" width="12.85546875" style="1" customWidth="1"/>
    <col min="8" max="8" width="9.7109375" style="1" customWidth="1"/>
    <col min="9" max="9" width="8.85546875" style="1"/>
    <col min="10" max="10" width="11" style="1" customWidth="1"/>
    <col min="11" max="16384" width="8.85546875" style="1"/>
  </cols>
  <sheetData>
    <row r="1" spans="4:11" ht="58.5" customHeight="1">
      <c r="D1" s="224" t="s">
        <v>205</v>
      </c>
      <c r="E1" s="188"/>
      <c r="F1" s="188"/>
      <c r="H1" s="227" t="s">
        <v>217</v>
      </c>
      <c r="I1" s="227"/>
      <c r="J1" s="227"/>
      <c r="K1" s="227"/>
    </row>
    <row r="2" spans="4:11" ht="56.25" customHeight="1">
      <c r="D2" s="141" t="s">
        <v>199</v>
      </c>
      <c r="E2" s="121" t="s">
        <v>207</v>
      </c>
      <c r="F2" s="121" t="s">
        <v>219</v>
      </c>
      <c r="H2" s="228"/>
      <c r="I2" s="228"/>
      <c r="J2" s="228"/>
      <c r="K2" s="228"/>
    </row>
    <row r="3" spans="4:11" ht="22.5" customHeight="1">
      <c r="D3" s="122" t="s">
        <v>174</v>
      </c>
      <c r="E3" s="134"/>
      <c r="F3" s="135">
        <f t="shared" ref="F3:F11" si="0">IF(E3="قطعی( در مالکیت شرکت)","1",IF(E3="اجاره ای","0.8",0))</f>
        <v>0</v>
      </c>
      <c r="G3" s="140"/>
    </row>
    <row r="4" spans="4:11" ht="22.5" customHeight="1">
      <c r="D4" s="122" t="s">
        <v>175</v>
      </c>
      <c r="E4" s="134"/>
      <c r="F4" s="135">
        <f t="shared" si="0"/>
        <v>0</v>
      </c>
      <c r="G4" s="140"/>
    </row>
    <row r="5" spans="4:11" ht="22.5" customHeight="1">
      <c r="D5" s="122" t="s">
        <v>185</v>
      </c>
      <c r="E5" s="134"/>
      <c r="F5" s="135">
        <f t="shared" si="0"/>
        <v>0</v>
      </c>
      <c r="G5" s="140"/>
    </row>
    <row r="6" spans="4:11" ht="27.75">
      <c r="D6" s="122" t="s">
        <v>186</v>
      </c>
      <c r="E6" s="134"/>
      <c r="F6" s="135">
        <f t="shared" si="0"/>
        <v>0</v>
      </c>
      <c r="G6" s="140"/>
    </row>
    <row r="7" spans="4:11" ht="27.75">
      <c r="D7" s="122" t="s">
        <v>187</v>
      </c>
      <c r="E7" s="134"/>
      <c r="F7" s="135">
        <f t="shared" si="0"/>
        <v>0</v>
      </c>
      <c r="G7" s="140"/>
    </row>
    <row r="8" spans="4:11" ht="27.75">
      <c r="D8" s="122" t="s">
        <v>188</v>
      </c>
      <c r="E8" s="134"/>
      <c r="F8" s="135">
        <f t="shared" si="0"/>
        <v>0</v>
      </c>
      <c r="G8" s="140"/>
    </row>
    <row r="9" spans="4:11" ht="27.75">
      <c r="D9" s="122" t="s">
        <v>189</v>
      </c>
      <c r="E9" s="134"/>
      <c r="F9" s="135">
        <f t="shared" si="0"/>
        <v>0</v>
      </c>
      <c r="G9" s="140"/>
    </row>
    <row r="10" spans="4:11" ht="27.75">
      <c r="D10" s="122" t="s">
        <v>190</v>
      </c>
      <c r="E10" s="134"/>
      <c r="F10" s="135">
        <f t="shared" si="0"/>
        <v>0</v>
      </c>
      <c r="G10" s="140"/>
    </row>
    <row r="11" spans="4:11" ht="27.75">
      <c r="D11" s="122" t="s">
        <v>191</v>
      </c>
      <c r="E11" s="134"/>
      <c r="F11" s="135">
        <f t="shared" si="0"/>
        <v>0</v>
      </c>
      <c r="G11" s="140"/>
    </row>
    <row r="12" spans="4:11" ht="27.75">
      <c r="E12" s="144" t="s">
        <v>218</v>
      </c>
      <c r="F12" s="145" t="str">
        <f>IF(I12&gt;=5,"3","نظر کارشناس")</f>
        <v>نظر کارشناس</v>
      </c>
      <c r="G12" s="140"/>
      <c r="I12" s="143">
        <f>COUNTA(E3:E11)</f>
        <v>0</v>
      </c>
      <c r="J12" s="115" t="s">
        <v>214</v>
      </c>
    </row>
    <row r="14" spans="4:11">
      <c r="D14" s="136"/>
    </row>
    <row r="15" spans="4:11" ht="51" customHeight="1">
      <c r="D15" s="142" t="s">
        <v>200</v>
      </c>
      <c r="E15" s="121" t="s">
        <v>207</v>
      </c>
      <c r="F15" s="121" t="s">
        <v>219</v>
      </c>
    </row>
    <row r="16" spans="4:11" ht="27.75">
      <c r="D16" s="123" t="s">
        <v>178</v>
      </c>
      <c r="E16" s="134"/>
      <c r="F16" s="135">
        <f t="shared" ref="F16:F46" si="1">IF(E16="قطعی( در مالکیت شرکت)","1",IF(E16="اجاره ای","0.8",0))</f>
        <v>0</v>
      </c>
      <c r="G16" s="140"/>
    </row>
    <row r="17" spans="4:7" ht="27.75">
      <c r="D17" s="123" t="s">
        <v>179</v>
      </c>
      <c r="E17" s="134"/>
      <c r="F17" s="135">
        <f t="shared" si="1"/>
        <v>0</v>
      </c>
      <c r="G17" s="140"/>
    </row>
    <row r="18" spans="4:7" ht="27.75">
      <c r="D18" s="123" t="s">
        <v>177</v>
      </c>
      <c r="E18" s="134"/>
      <c r="F18" s="135">
        <f t="shared" si="1"/>
        <v>0</v>
      </c>
      <c r="G18" s="140"/>
    </row>
    <row r="19" spans="4:7" ht="27.75">
      <c r="D19" s="122" t="s">
        <v>151</v>
      </c>
      <c r="E19" s="134"/>
      <c r="F19" s="135">
        <f t="shared" si="1"/>
        <v>0</v>
      </c>
      <c r="G19" s="140"/>
    </row>
    <row r="20" spans="4:7" ht="27.75">
      <c r="D20" s="122" t="s">
        <v>180</v>
      </c>
      <c r="E20" s="134"/>
      <c r="F20" s="135">
        <f t="shared" si="1"/>
        <v>0</v>
      </c>
      <c r="G20" s="140"/>
    </row>
    <row r="21" spans="4:7" ht="27.75">
      <c r="D21" s="122" t="s">
        <v>181</v>
      </c>
      <c r="E21" s="134"/>
      <c r="F21" s="135">
        <f t="shared" si="1"/>
        <v>0</v>
      </c>
      <c r="G21" s="140"/>
    </row>
    <row r="22" spans="4:7" ht="27.75">
      <c r="D22" s="122" t="s">
        <v>150</v>
      </c>
      <c r="E22" s="134"/>
      <c r="F22" s="135">
        <f t="shared" si="1"/>
        <v>0</v>
      </c>
      <c r="G22" s="140"/>
    </row>
    <row r="23" spans="4:7" ht="27.75">
      <c r="D23" s="122" t="s">
        <v>151</v>
      </c>
      <c r="E23" s="134"/>
      <c r="F23" s="135">
        <f t="shared" si="1"/>
        <v>0</v>
      </c>
      <c r="G23" s="140"/>
    </row>
    <row r="24" spans="4:7" ht="27.75">
      <c r="D24" s="122" t="s">
        <v>152</v>
      </c>
      <c r="E24" s="134"/>
      <c r="F24" s="135">
        <f t="shared" si="1"/>
        <v>0</v>
      </c>
      <c r="G24" s="140"/>
    </row>
    <row r="25" spans="4:7" ht="27.75">
      <c r="D25" s="122" t="s">
        <v>153</v>
      </c>
      <c r="E25" s="134"/>
      <c r="F25" s="135">
        <f t="shared" si="1"/>
        <v>0</v>
      </c>
      <c r="G25" s="140"/>
    </row>
    <row r="26" spans="4:7" ht="27.75">
      <c r="D26" s="122" t="s">
        <v>182</v>
      </c>
      <c r="E26" s="134"/>
      <c r="F26" s="135">
        <f t="shared" si="1"/>
        <v>0</v>
      </c>
      <c r="G26" s="140"/>
    </row>
    <row r="27" spans="4:7" ht="27.75">
      <c r="D27" s="122" t="s">
        <v>154</v>
      </c>
      <c r="E27" s="134"/>
      <c r="F27" s="135">
        <f t="shared" si="1"/>
        <v>0</v>
      </c>
      <c r="G27" s="140"/>
    </row>
    <row r="28" spans="4:7" ht="27.75">
      <c r="D28" s="122" t="s">
        <v>155</v>
      </c>
      <c r="E28" s="134"/>
      <c r="F28" s="135">
        <f t="shared" ref="F28:F37" si="2">IF(E28="قطعی( در مالکیت شرکت)","1",IF(E28="اجاره ای","0.8",0))</f>
        <v>0</v>
      </c>
      <c r="G28" s="140"/>
    </row>
    <row r="29" spans="4:7" ht="27.75">
      <c r="D29" s="122" t="s">
        <v>156</v>
      </c>
      <c r="E29" s="134"/>
      <c r="F29" s="135">
        <f t="shared" si="2"/>
        <v>0</v>
      </c>
      <c r="G29" s="140"/>
    </row>
    <row r="30" spans="4:7" ht="27.75">
      <c r="D30" s="122" t="s">
        <v>157</v>
      </c>
      <c r="E30" s="134"/>
      <c r="F30" s="135">
        <f t="shared" si="2"/>
        <v>0</v>
      </c>
      <c r="G30" s="140"/>
    </row>
    <row r="31" spans="4:7" ht="27.75">
      <c r="D31" s="122" t="s">
        <v>158</v>
      </c>
      <c r="E31" s="134"/>
      <c r="F31" s="135">
        <f t="shared" si="2"/>
        <v>0</v>
      </c>
      <c r="G31" s="140"/>
    </row>
    <row r="32" spans="4:7" ht="27.75">
      <c r="D32" s="122" t="s">
        <v>159</v>
      </c>
      <c r="E32" s="134"/>
      <c r="F32" s="135">
        <f t="shared" si="2"/>
        <v>0</v>
      </c>
      <c r="G32" s="140"/>
    </row>
    <row r="33" spans="4:10" ht="27.75">
      <c r="D33" s="122" t="s">
        <v>183</v>
      </c>
      <c r="E33" s="134"/>
      <c r="F33" s="135">
        <f t="shared" si="2"/>
        <v>0</v>
      </c>
      <c r="G33" s="140"/>
    </row>
    <row r="34" spans="4:10" ht="27.75">
      <c r="D34" s="122" t="s">
        <v>184</v>
      </c>
      <c r="E34" s="134"/>
      <c r="F34" s="135">
        <f t="shared" si="2"/>
        <v>0</v>
      </c>
      <c r="G34" s="140"/>
    </row>
    <row r="35" spans="4:10" ht="27.75">
      <c r="D35" s="122" t="s">
        <v>160</v>
      </c>
      <c r="E35" s="134"/>
      <c r="F35" s="135">
        <f t="shared" si="2"/>
        <v>0</v>
      </c>
      <c r="G35" s="140"/>
    </row>
    <row r="36" spans="4:10" ht="27.75">
      <c r="D36" s="122" t="s">
        <v>161</v>
      </c>
      <c r="E36" s="134"/>
      <c r="F36" s="135">
        <f t="shared" si="2"/>
        <v>0</v>
      </c>
      <c r="G36" s="140"/>
    </row>
    <row r="37" spans="4:10" ht="27.75">
      <c r="D37" s="122" t="s">
        <v>162</v>
      </c>
      <c r="E37" s="134"/>
      <c r="F37" s="135">
        <f t="shared" si="2"/>
        <v>0</v>
      </c>
      <c r="G37" s="140"/>
    </row>
    <row r="38" spans="4:10" ht="27.75">
      <c r="D38" s="122" t="s">
        <v>163</v>
      </c>
      <c r="E38" s="134"/>
      <c r="F38" s="135">
        <f t="shared" si="1"/>
        <v>0</v>
      </c>
      <c r="G38" s="140"/>
    </row>
    <row r="39" spans="4:10" ht="27.75">
      <c r="D39" s="122" t="s">
        <v>164</v>
      </c>
      <c r="E39" s="134"/>
      <c r="F39" s="135">
        <f t="shared" si="1"/>
        <v>0</v>
      </c>
      <c r="G39" s="140"/>
    </row>
    <row r="40" spans="4:10" ht="27.75">
      <c r="D40" s="122" t="s">
        <v>165</v>
      </c>
      <c r="E40" s="134"/>
      <c r="F40" s="135">
        <f t="shared" si="1"/>
        <v>0</v>
      </c>
      <c r="G40" s="140"/>
    </row>
    <row r="41" spans="4:10" ht="27.75">
      <c r="D41" s="122" t="s">
        <v>166</v>
      </c>
      <c r="E41" s="134"/>
      <c r="F41" s="135">
        <f t="shared" si="1"/>
        <v>0</v>
      </c>
      <c r="G41" s="140"/>
    </row>
    <row r="42" spans="4:10" ht="27.75">
      <c r="D42" s="122" t="s">
        <v>167</v>
      </c>
      <c r="E42" s="134"/>
      <c r="F42" s="135">
        <f t="shared" si="1"/>
        <v>0</v>
      </c>
      <c r="G42" s="140"/>
    </row>
    <row r="43" spans="4:10" ht="27.75">
      <c r="D43" s="122" t="s">
        <v>168</v>
      </c>
      <c r="E43" s="134"/>
      <c r="F43" s="135">
        <f t="shared" si="1"/>
        <v>0</v>
      </c>
      <c r="G43" s="140"/>
    </row>
    <row r="44" spans="4:10" ht="27.75">
      <c r="D44" s="122" t="s">
        <v>169</v>
      </c>
      <c r="E44" s="134"/>
      <c r="F44" s="135">
        <f t="shared" si="1"/>
        <v>0</v>
      </c>
      <c r="G44" s="140"/>
    </row>
    <row r="45" spans="4:10" ht="27.75">
      <c r="D45" s="122" t="s">
        <v>170</v>
      </c>
      <c r="E45" s="134"/>
      <c r="F45" s="135">
        <f t="shared" si="1"/>
        <v>0</v>
      </c>
      <c r="G45" s="140"/>
    </row>
    <row r="46" spans="4:10" ht="27.75">
      <c r="D46" s="122" t="s">
        <v>176</v>
      </c>
      <c r="E46" s="134"/>
      <c r="F46" s="135">
        <f t="shared" si="1"/>
        <v>0</v>
      </c>
      <c r="G46" s="140"/>
    </row>
    <row r="47" spans="4:10" ht="27.75">
      <c r="D47" s="137"/>
      <c r="E47" s="144" t="s">
        <v>212</v>
      </c>
      <c r="F47" s="145" t="str">
        <f>IF(I47&gt;=15,"10","نظر کارشناس")</f>
        <v>نظر کارشناس</v>
      </c>
      <c r="G47" s="140"/>
      <c r="I47" s="143">
        <f>COUNTA(E16:E46)</f>
        <v>0</v>
      </c>
      <c r="J47" s="115" t="s">
        <v>215</v>
      </c>
    </row>
    <row r="48" spans="4:10">
      <c r="D48" s="137"/>
    </row>
    <row r="49" spans="4:10">
      <c r="D49" s="137"/>
      <c r="E49" s="137"/>
      <c r="F49" s="137"/>
    </row>
    <row r="50" spans="4:10" ht="24">
      <c r="D50" s="137"/>
      <c r="E50" s="137"/>
      <c r="F50" s="138"/>
    </row>
    <row r="51" spans="4:10" ht="24">
      <c r="D51" s="139" t="s">
        <v>208</v>
      </c>
      <c r="E51" s="121" t="s">
        <v>207</v>
      </c>
      <c r="F51" s="121" t="s">
        <v>219</v>
      </c>
    </row>
    <row r="52" spans="4:10" ht="22.5" customHeight="1">
      <c r="D52" s="122" t="s">
        <v>171</v>
      </c>
      <c r="E52" s="134"/>
      <c r="F52" s="135">
        <f>IF(E52="قطعی( در مالکیت شرکت)","1",IF(E52="اجاره ای","0.8",0))</f>
        <v>0</v>
      </c>
      <c r="G52" s="140"/>
    </row>
    <row r="53" spans="4:10" ht="22.5" customHeight="1">
      <c r="D53" s="122" t="s">
        <v>211</v>
      </c>
      <c r="E53" s="134"/>
      <c r="F53" s="135">
        <f t="shared" ref="F53:F56" si="3">IF(E53="قطعی( در مالکیت شرکت)","1",IF(E53="اجاره ای","0.8",0))</f>
        <v>0</v>
      </c>
      <c r="G53" s="140"/>
    </row>
    <row r="54" spans="4:10" ht="22.5" customHeight="1">
      <c r="D54" s="122" t="s">
        <v>172</v>
      </c>
      <c r="E54" s="134"/>
      <c r="F54" s="135">
        <f t="shared" si="3"/>
        <v>0</v>
      </c>
      <c r="G54" s="140"/>
    </row>
    <row r="55" spans="4:10" ht="22.5" customHeight="1">
      <c r="D55" s="122" t="s">
        <v>173</v>
      </c>
      <c r="E55" s="134"/>
      <c r="F55" s="135">
        <f t="shared" si="3"/>
        <v>0</v>
      </c>
      <c r="G55" s="140"/>
    </row>
    <row r="56" spans="4:10" ht="27.75">
      <c r="D56" s="122" t="s">
        <v>192</v>
      </c>
      <c r="E56" s="134"/>
      <c r="F56" s="135">
        <f t="shared" si="3"/>
        <v>0</v>
      </c>
      <c r="G56" s="140"/>
    </row>
    <row r="57" spans="4:10" ht="27.75">
      <c r="E57" s="144" t="s">
        <v>213</v>
      </c>
      <c r="F57" s="145" t="str">
        <f>IF(I57&gt;=3,"2","نظر کارشناس")</f>
        <v>نظر کارشناس</v>
      </c>
      <c r="G57" s="140"/>
      <c r="I57" s="143">
        <f>COUNTA(E52:E56)</f>
        <v>0</v>
      </c>
      <c r="J57" s="115" t="s">
        <v>216</v>
      </c>
    </row>
    <row r="63" spans="4:10" ht="26.25">
      <c r="D63" s="146" t="s">
        <v>221</v>
      </c>
      <c r="F63" s="225" t="s">
        <v>220</v>
      </c>
      <c r="G63" s="225"/>
    </row>
    <row r="64" spans="4:10" ht="24.75">
      <c r="D64" s="131"/>
      <c r="F64" s="226" t="e">
        <f>SUM(F57+F47+F12)</f>
        <v>#VALUE!</v>
      </c>
      <c r="G64" s="226"/>
    </row>
  </sheetData>
  <sheetProtection algorithmName="SHA-512" hashValue="xz/bD4xnv2nLMt2h5xrltLhSrbi8an8TER5RxeaPbt6eCu8VrK4/O6d3/oj9RgzGWXM9eIDPKzR3WgQ621PZQA==" saltValue="RJi484hABfqt2iwqriIsZA==" spinCount="100000" sheet="1" objects="1" scenarios="1"/>
  <protectedRanges>
    <protectedRange sqref="E3:E11" name="Range1"/>
  </protectedRanges>
  <mergeCells count="4">
    <mergeCell ref="D1:F1"/>
    <mergeCell ref="F63:G63"/>
    <mergeCell ref="F64:G64"/>
    <mergeCell ref="H1:K2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A5055C-F25D-4B39-BB3A-DE1D955EC08D}">
          <x14:formula1>
            <xm:f>پایه!$D$7:$D$9</xm:f>
          </x14:formula1>
          <xm:sqref>E52:E56 E16:E46 E3:E11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پایه</vt:lpstr>
      <vt:lpstr>امتیاز کل</vt:lpstr>
      <vt:lpstr> اطلاعات عمومي و ثبتي شركت </vt:lpstr>
      <vt:lpstr>مالی</vt:lpstr>
      <vt:lpstr> تجربه و دانش در زمینه مورد نظر</vt:lpstr>
      <vt:lpstr>حسن سابقه و رضایت</vt:lpstr>
      <vt:lpstr>کیفیت کارکنان کلیدی</vt:lpstr>
      <vt:lpstr>ماشین‌آلات و تجهیزات پشتیبانی</vt:lpstr>
      <vt:lpstr>'امتیاز کل'!_Hlk52032933</vt:lpstr>
      <vt:lpstr>پایه!_Hlk52032933</vt:lpstr>
      <vt:lpstr>'ماشین‌آلات و تجهیزات پشتیبانی'!_Toc42787377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Azam Bajgholi</cp:lastModifiedBy>
  <dcterms:created xsi:type="dcterms:W3CDTF">2022-08-16T05:22:32Z</dcterms:created>
  <dcterms:modified xsi:type="dcterms:W3CDTF">2025-08-05T08:10:38Z</dcterms:modified>
</cp:coreProperties>
</file>